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35" windowWidth="18315" windowHeight="12045" tabRatio="946" activeTab="0"/>
  </bookViews>
  <sheets>
    <sheet name="К-29" sheetId="1" r:id="rId1"/>
    <sheet name="К-28" sheetId="2" r:id="rId2"/>
    <sheet name="О-22" sheetId="3" r:id="rId3"/>
    <sheet name="Л-29,1" sheetId="4" r:id="rId4"/>
    <sheet name="К-30,5" sheetId="5" r:id="rId5"/>
    <sheet name="П-12" sheetId="6" r:id="rId6"/>
    <sheet name="СВОД Альтаир" sheetId="7" r:id="rId7"/>
    <sheet name="Диаграмма1" sheetId="8" r:id="rId8"/>
    <sheet name="Диаграмма2" sheetId="9" r:id="rId9"/>
    <sheet name="Диаграмма3" sheetId="10" r:id="rId10"/>
    <sheet name="Лист2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<sst xmlns="http://schemas.openxmlformats.org/spreadsheetml/2006/main" count="570" uniqueCount="122">
  <si>
    <t>№</t>
  </si>
  <si>
    <t>Статьи расходов</t>
  </si>
  <si>
    <t xml:space="preserve">Поставщик </t>
  </si>
  <si>
    <t>Доход</t>
  </si>
  <si>
    <t>Расход</t>
  </si>
  <si>
    <t>задолженность на 01.01.11</t>
  </si>
  <si>
    <t>плановое начисление январь-декабрь 2011г</t>
  </si>
  <si>
    <t>итого плановое начисление</t>
  </si>
  <si>
    <t>Фактический приход</t>
  </si>
  <si>
    <t>Отклонение ("-" долг, "+" переплата)</t>
  </si>
  <si>
    <t>Сальдо на нач.года</t>
  </si>
  <si>
    <t>Выставлено за 2011 год</t>
  </si>
  <si>
    <t>Фактическая оплата поставщикам</t>
  </si>
  <si>
    <t>сальдо ("-" долг, "+" переплата</t>
  </si>
  <si>
    <t xml:space="preserve">площадь, кв.м. </t>
  </si>
  <si>
    <t xml:space="preserve">количество проживающих, чел </t>
  </si>
  <si>
    <t xml:space="preserve">Квартплата, в т.ч. </t>
  </si>
  <si>
    <t>1.1.</t>
  </si>
  <si>
    <t>Отопление</t>
  </si>
  <si>
    <t xml:space="preserve">ЯО Энергосбыт </t>
  </si>
  <si>
    <t>1.2.</t>
  </si>
  <si>
    <t xml:space="preserve">Содержание дворовой территории </t>
  </si>
  <si>
    <t>ООО УК Альтаир</t>
  </si>
  <si>
    <t>1.3.</t>
  </si>
  <si>
    <t>Уборка лестничной площадки</t>
  </si>
  <si>
    <t>1.4.</t>
  </si>
  <si>
    <t>Вывоз сухого мусора</t>
  </si>
  <si>
    <t>ООО Экопроект, ООО УК Альтаир</t>
  </si>
  <si>
    <t>1.5.</t>
  </si>
  <si>
    <t>Техобслуживание электрооборудования</t>
  </si>
  <si>
    <t>1.6.</t>
  </si>
  <si>
    <t>Техобслуживание жилищного фонда</t>
  </si>
  <si>
    <t>1.7.</t>
  </si>
  <si>
    <t>Техобслуживание ВДГО</t>
  </si>
  <si>
    <t>ОАО Сахатранснефтегаз</t>
  </si>
  <si>
    <t>1.8.</t>
  </si>
  <si>
    <t xml:space="preserve">Домофон </t>
  </si>
  <si>
    <t>1.9.</t>
  </si>
  <si>
    <t>Газ</t>
  </si>
  <si>
    <t>1.10.</t>
  </si>
  <si>
    <t xml:space="preserve">Электроэнергия на общедомовые нужды </t>
  </si>
  <si>
    <t>1.11.</t>
  </si>
  <si>
    <t>ТСЖ Курашова 2003</t>
  </si>
  <si>
    <t>Итого</t>
  </si>
  <si>
    <t>ХВС</t>
  </si>
  <si>
    <t>ОАО Водоканал</t>
  </si>
  <si>
    <t>ГВС</t>
  </si>
  <si>
    <t>ЯО Энергосбыт</t>
  </si>
  <si>
    <t xml:space="preserve">Канализация </t>
  </si>
  <si>
    <t xml:space="preserve">Поступление через кассу ЯО Энергосбыт </t>
  </si>
  <si>
    <t>ИТОГО:</t>
  </si>
  <si>
    <t>прочие</t>
  </si>
  <si>
    <t xml:space="preserve">Техобслуживание теплосчетчиков, проверка </t>
  </si>
  <si>
    <t>ООО Фаворит 96</t>
  </si>
  <si>
    <t xml:space="preserve">Вывоз габаритного мусора </t>
  </si>
  <si>
    <t>ООО АгентСеверСнаб</t>
  </si>
  <si>
    <t>Промывка отопления</t>
  </si>
  <si>
    <t xml:space="preserve">ИП Дьяконов </t>
  </si>
  <si>
    <t>ЗАО СЭБ СКАТ</t>
  </si>
  <si>
    <t xml:space="preserve">ВСЕГО </t>
  </si>
  <si>
    <t>прочие приход</t>
  </si>
  <si>
    <t>ВСЕГО</t>
  </si>
  <si>
    <t>Сальдо на 01.01.11 (банк)</t>
  </si>
  <si>
    <t>Сальдо на 01.01.11 (касса)</t>
  </si>
  <si>
    <t>сальдо на 31.12.11 (банк ОС)</t>
  </si>
  <si>
    <t>сальдо на 31.12.11 (банк Энергосбыт)</t>
  </si>
  <si>
    <t>Генеральный директор</t>
  </si>
  <si>
    <t>________________________</t>
  </si>
  <si>
    <t>Бястинов Л.Д.</t>
  </si>
  <si>
    <t>Гл.бухгалтер</t>
  </si>
  <si>
    <t>Винокурова А.И.</t>
  </si>
  <si>
    <t>Кассовое обслуживание</t>
  </si>
  <si>
    <t xml:space="preserve">Техобслуживание теплосчетчиков </t>
  </si>
  <si>
    <t>Ломоносова 29/1</t>
  </si>
  <si>
    <t>ООО УК Альтаир, ООО Экопроект, ЗАО Каскад</t>
  </si>
  <si>
    <t xml:space="preserve">Техобслуживание лифта </t>
  </si>
  <si>
    <t xml:space="preserve">ЗАО Лифтремонт </t>
  </si>
  <si>
    <t>ООО Дом-строй</t>
  </si>
  <si>
    <t xml:space="preserve">Электроэнергия </t>
  </si>
  <si>
    <t xml:space="preserve">Газ по счетчику </t>
  </si>
  <si>
    <t xml:space="preserve">Освидетельствование и страхование лифтов </t>
  </si>
  <si>
    <t>ООО Экспоцентр</t>
  </si>
  <si>
    <t>ОАО ДСК</t>
  </si>
  <si>
    <t>ООО УК Альтаир, ООО Экопроект</t>
  </si>
  <si>
    <t>Курашова 30/5</t>
  </si>
  <si>
    <t>ноябрь, декабрь 2011г</t>
  </si>
  <si>
    <t>1,9.</t>
  </si>
  <si>
    <t>Отопление ЮЛ</t>
  </si>
  <si>
    <t>ГВС ЮЛ</t>
  </si>
  <si>
    <t>Эл.энергия ЮЛ</t>
  </si>
  <si>
    <t>Пушкина 12</t>
  </si>
  <si>
    <t>декабрь 2011г</t>
  </si>
  <si>
    <t>ТО ЖФ</t>
  </si>
  <si>
    <t>ТО ЭО</t>
  </si>
  <si>
    <t>ЗАО Домофон-сервис</t>
  </si>
  <si>
    <t>ИП Кичук В.И.</t>
  </si>
  <si>
    <t xml:space="preserve">Дополнительный фонд на содержание и ремонт многоквартирного жилого дома </t>
  </si>
  <si>
    <t>Отчет финансово-хозяйственной деятельности ТСЖ "Курашова 2003" за 2011 год</t>
  </si>
  <si>
    <t>плановое начисление апрель-декабрь 2011г</t>
  </si>
  <si>
    <t>Отчет финансово-хозяйственной деятельности за 2011г ТСЖ "Надежда 2011"</t>
  </si>
  <si>
    <t>Установка теплосчетчиков</t>
  </si>
  <si>
    <t>Агентский сбор</t>
  </si>
  <si>
    <t>Генеральный директор ООО УК "Альтаир"</t>
  </si>
  <si>
    <t>Гл.бухгалтер ООО УК "Альтаир"</t>
  </si>
  <si>
    <t>Отчет финансово-хозяйственной деятельности ТСЖ "Наш дом на Короленко 28"</t>
  </si>
  <si>
    <t>ИП Дьяконов Д.Г.</t>
  </si>
  <si>
    <t>ООО АгентСеверСнаб, ИП Кичук В.И.</t>
  </si>
  <si>
    <t>ООО АгентСеверСнаб, ИП Кичук</t>
  </si>
  <si>
    <t xml:space="preserve">Агентский сбор </t>
  </si>
  <si>
    <t>Отчет финансово-хозяйственной деятельности ООО УК "Альтаир"</t>
  </si>
  <si>
    <t xml:space="preserve">Подводящий газопровод </t>
  </si>
  <si>
    <t>плановое начисление ноябрь, декабрь 2011г</t>
  </si>
  <si>
    <t>плановое начисление декабрь 2011г</t>
  </si>
  <si>
    <t>Электроэнергия ЮЛ</t>
  </si>
  <si>
    <t xml:space="preserve">Отчет финансово-хозяйственной деятельности ООО УК Альтаир за 2011г </t>
  </si>
  <si>
    <t>Домофон</t>
  </si>
  <si>
    <t>газ по счетчику</t>
  </si>
  <si>
    <t>выставлено</t>
  </si>
  <si>
    <t>оплата населения</t>
  </si>
  <si>
    <t>плановое начисление за 2011г</t>
  </si>
  <si>
    <t xml:space="preserve">Уборка двора </t>
  </si>
  <si>
    <t>Уборка лестн.кл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</si>
</sst>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Helv"/>
      <family val="0"/>
    </font>
    <font>
      <b/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sz val="9"/>
      <name val="Helv"/>
      <family val="0"/>
    </font>
    <font>
      <b/>
      <sz val="9"/>
      <name val="Helv"/>
      <family val="0"/>
    </font>
    <font>
      <sz val="8"/>
      <name val="Arial Cyr"/>
      <family val="0"/>
    </font>
    <font>
      <b/>
      <sz val="9"/>
      <color indexed="10"/>
      <name val="Arial"/>
      <family val="2"/>
    </font>
    <font>
      <b/>
      <sz val="9"/>
      <color indexed="10"/>
      <name val="Arial Cyr"/>
      <family val="0"/>
    </font>
    <font>
      <b/>
      <sz val="12"/>
      <name val="Arial Cyr"/>
      <family val="0"/>
    </font>
    <font>
      <b/>
      <sz val="11.7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43" fontId="3" fillId="0" borderId="0" xfId="19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19" applyFont="1" applyBorder="1" applyAlignment="1">
      <alignment horizontal="center" wrapText="1"/>
    </xf>
    <xf numFmtId="43" fontId="5" fillId="0" borderId="2" xfId="19" applyFont="1" applyBorder="1" applyAlignment="1">
      <alignment horizontal="center" wrapText="1"/>
    </xf>
    <xf numFmtId="43" fontId="5" fillId="0" borderId="3" xfId="19" applyFont="1" applyBorder="1" applyAlignment="1">
      <alignment horizontal="center" wrapText="1"/>
    </xf>
    <xf numFmtId="43" fontId="3" fillId="0" borderId="3" xfId="19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43" fontId="3" fillId="0" borderId="3" xfId="19" applyFont="1" applyBorder="1" applyAlignment="1">
      <alignment horizontal="center"/>
    </xf>
    <xf numFmtId="0" fontId="3" fillId="0" borderId="3" xfId="0" applyFont="1" applyBorder="1" applyAlignment="1">
      <alignment/>
    </xf>
    <xf numFmtId="0" fontId="1" fillId="0" borderId="3" xfId="0" applyFont="1" applyBorder="1" applyAlignment="1">
      <alignment/>
    </xf>
    <xf numFmtId="43" fontId="3" fillId="0" borderId="0" xfId="19" applyFont="1" applyAlignment="1">
      <alignment horizontal="center"/>
    </xf>
    <xf numFmtId="16" fontId="4" fillId="0" borderId="3" xfId="0" applyNumberFormat="1" applyFont="1" applyFill="1" applyBorder="1" applyAlignment="1">
      <alignment/>
    </xf>
    <xf numFmtId="0" fontId="1" fillId="0" borderId="3" xfId="17" applyFont="1" applyBorder="1">
      <alignment/>
      <protection/>
    </xf>
    <xf numFmtId="0" fontId="4" fillId="0" borderId="3" xfId="0" applyFont="1" applyBorder="1" applyAlignment="1">
      <alignment/>
    </xf>
    <xf numFmtId="43" fontId="5" fillId="0" borderId="3" xfId="0" applyNumberFormat="1" applyFont="1" applyBorder="1" applyAlignment="1">
      <alignment/>
    </xf>
    <xf numFmtId="43" fontId="5" fillId="0" borderId="3" xfId="19" applyFont="1" applyFill="1" applyBorder="1" applyAlignment="1">
      <alignment horizontal="center"/>
    </xf>
    <xf numFmtId="43" fontId="5" fillId="0" borderId="3" xfId="18" applyNumberFormat="1" applyFont="1" applyFill="1" applyBorder="1" applyAlignment="1">
      <alignment horizontal="center"/>
    </xf>
    <xf numFmtId="43" fontId="4" fillId="0" borderId="0" xfId="19" applyFont="1" applyFill="1" applyAlignment="1">
      <alignment/>
    </xf>
    <xf numFmtId="0" fontId="4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0" fontId="3" fillId="0" borderId="3" xfId="17" applyFont="1" applyBorder="1" applyAlignment="1">
      <alignment vertical="justify"/>
      <protection/>
    </xf>
    <xf numFmtId="0" fontId="4" fillId="0" borderId="3" xfId="0" applyFont="1" applyFill="1" applyBorder="1" applyAlignment="1">
      <alignment/>
    </xf>
    <xf numFmtId="0" fontId="4" fillId="0" borderId="3" xfId="0" applyFont="1" applyBorder="1" applyAlignment="1">
      <alignment wrapText="1"/>
    </xf>
    <xf numFmtId="0" fontId="3" fillId="0" borderId="3" xfId="17" applyFont="1" applyBorder="1">
      <alignment/>
      <protection/>
    </xf>
    <xf numFmtId="0" fontId="3" fillId="2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43" fontId="5" fillId="2" borderId="3" xfId="0" applyNumberFormat="1" applyFont="1" applyFill="1" applyBorder="1" applyAlignment="1">
      <alignment/>
    </xf>
    <xf numFmtId="43" fontId="5" fillId="0" borderId="0" xfId="19" applyFont="1" applyFill="1" applyAlignment="1">
      <alignment/>
    </xf>
    <xf numFmtId="0" fontId="5" fillId="0" borderId="0" xfId="0" applyFont="1" applyFill="1" applyAlignment="1">
      <alignment/>
    </xf>
    <xf numFmtId="0" fontId="5" fillId="0" borderId="3" xfId="0" applyFont="1" applyBorder="1" applyAlignment="1">
      <alignment/>
    </xf>
    <xf numFmtId="43" fontId="4" fillId="0" borderId="3" xfId="19" applyFont="1" applyFill="1" applyBorder="1" applyAlignment="1">
      <alignment wrapText="1"/>
    </xf>
    <xf numFmtId="43" fontId="5" fillId="0" borderId="3" xfId="19" applyFont="1" applyFill="1" applyBorder="1" applyAlignment="1">
      <alignment wrapText="1"/>
    </xf>
    <xf numFmtId="43" fontId="5" fillId="2" borderId="3" xfId="19" applyFont="1" applyFill="1" applyBorder="1" applyAlignment="1">
      <alignment wrapText="1"/>
    </xf>
    <xf numFmtId="43" fontId="5" fillId="2" borderId="3" xfId="19" applyFont="1" applyFill="1" applyBorder="1" applyAlignment="1">
      <alignment horizontal="center"/>
    </xf>
    <xf numFmtId="43" fontId="5" fillId="2" borderId="0" xfId="19" applyFont="1" applyFill="1" applyAlignment="1">
      <alignment/>
    </xf>
    <xf numFmtId="0" fontId="5" fillId="2" borderId="0" xfId="0" applyFont="1" applyFill="1" applyAlignment="1">
      <alignment/>
    </xf>
    <xf numFmtId="0" fontId="1" fillId="2" borderId="3" xfId="0" applyFont="1" applyFill="1" applyBorder="1" applyAlignment="1">
      <alignment/>
    </xf>
    <xf numFmtId="43" fontId="3" fillId="2" borderId="3" xfId="19" applyFont="1" applyFill="1" applyBorder="1" applyAlignment="1">
      <alignment/>
    </xf>
    <xf numFmtId="0" fontId="1" fillId="2" borderId="0" xfId="0" applyFont="1" applyFill="1" applyAlignment="1">
      <alignment/>
    </xf>
    <xf numFmtId="0" fontId="3" fillId="0" borderId="3" xfId="0" applyFont="1" applyBorder="1" applyAlignment="1">
      <alignment wrapText="1"/>
    </xf>
    <xf numFmtId="43" fontId="3" fillId="0" borderId="3" xfId="19" applyFont="1" applyBorder="1" applyAlignment="1">
      <alignment/>
    </xf>
    <xf numFmtId="0" fontId="1" fillId="0" borderId="3" xfId="0" applyFont="1" applyBorder="1" applyAlignment="1">
      <alignment wrapText="1"/>
    </xf>
    <xf numFmtId="0" fontId="7" fillId="2" borderId="3" xfId="0" applyFont="1" applyFill="1" applyBorder="1" applyAlignment="1">
      <alignment/>
    </xf>
    <xf numFmtId="0" fontId="7" fillId="0" borderId="3" xfId="0" applyFont="1" applyBorder="1" applyAlignment="1">
      <alignment/>
    </xf>
    <xf numFmtId="43" fontId="8" fillId="0" borderId="3" xfId="19" applyFont="1" applyBorder="1" applyAlignment="1">
      <alignment/>
    </xf>
    <xf numFmtId="0" fontId="1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1" fillId="0" borderId="0" xfId="0" applyFont="1" applyAlignment="1">
      <alignment textRotation="178"/>
    </xf>
    <xf numFmtId="0" fontId="4" fillId="0" borderId="3" xfId="0" applyNumberFormat="1" applyFont="1" applyFill="1" applyBorder="1" applyAlignment="1">
      <alignment/>
    </xf>
    <xf numFmtId="43" fontId="3" fillId="0" borderId="3" xfId="19" applyFont="1" applyBorder="1" applyAlignment="1">
      <alignment wrapText="1"/>
    </xf>
    <xf numFmtId="43" fontId="3" fillId="0" borderId="3" xfId="19" applyFont="1" applyFill="1" applyBorder="1" applyAlignment="1">
      <alignment/>
    </xf>
    <xf numFmtId="43" fontId="10" fillId="0" borderId="3" xfId="18" applyNumberFormat="1" applyFont="1" applyFill="1" applyBorder="1" applyAlignment="1">
      <alignment horizontal="center"/>
    </xf>
    <xf numFmtId="43" fontId="10" fillId="2" borderId="3" xfId="0" applyNumberFormat="1" applyFont="1" applyFill="1" applyBorder="1" applyAlignment="1">
      <alignment/>
    </xf>
    <xf numFmtId="43" fontId="10" fillId="2" borderId="3" xfId="19" applyFont="1" applyFill="1" applyBorder="1" applyAlignment="1">
      <alignment horizontal="center"/>
    </xf>
    <xf numFmtId="43" fontId="11" fillId="2" borderId="3" xfId="19" applyFont="1" applyFill="1" applyBorder="1" applyAlignment="1">
      <alignment/>
    </xf>
    <xf numFmtId="43" fontId="11" fillId="0" borderId="3" xfId="19" applyFont="1" applyBorder="1" applyAlignment="1">
      <alignment/>
    </xf>
    <xf numFmtId="43" fontId="10" fillId="0" borderId="3" xfId="19" applyFont="1" applyFill="1" applyBorder="1" applyAlignment="1">
      <alignment horizontal="center"/>
    </xf>
    <xf numFmtId="43" fontId="10" fillId="0" borderId="3" xfId="0" applyNumberFormat="1" applyFont="1" applyBorder="1" applyAlignment="1">
      <alignment/>
    </xf>
    <xf numFmtId="0" fontId="1" fillId="0" borderId="3" xfId="17" applyFont="1" applyBorder="1" applyAlignment="1">
      <alignment wrapText="1" shrinkToFit="1"/>
      <protection/>
    </xf>
    <xf numFmtId="164" fontId="10" fillId="0" borderId="3" xfId="18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1" fillId="0" borderId="0" xfId="0" applyFont="1" applyFill="1" applyAlignment="1">
      <alignment/>
    </xf>
    <xf numFmtId="43" fontId="5" fillId="0" borderId="0" xfId="0" applyNumberFormat="1" applyFont="1" applyBorder="1" applyAlignment="1">
      <alignment/>
    </xf>
    <xf numFmtId="43" fontId="5" fillId="0" borderId="3" xfId="0" applyNumberFormat="1" applyFont="1" applyFill="1" applyBorder="1" applyAlignment="1">
      <alignment/>
    </xf>
    <xf numFmtId="43" fontId="0" fillId="0" borderId="0" xfId="19" applyAlignment="1">
      <alignment/>
    </xf>
    <xf numFmtId="43" fontId="0" fillId="0" borderId="0" xfId="19" applyFont="1" applyAlignment="1">
      <alignment/>
    </xf>
    <xf numFmtId="43" fontId="11" fillId="0" borderId="3" xfId="19" applyFont="1" applyFill="1" applyBorder="1" applyAlignment="1">
      <alignment/>
    </xf>
    <xf numFmtId="43" fontId="3" fillId="0" borderId="4" xfId="19" applyFont="1" applyBorder="1" applyAlignment="1">
      <alignment horizontal="center"/>
    </xf>
    <xf numFmtId="43" fontId="3" fillId="0" borderId="5" xfId="19" applyFont="1" applyBorder="1" applyAlignment="1">
      <alignment horizontal="center"/>
    </xf>
    <xf numFmtId="43" fontId="3" fillId="0" borderId="6" xfId="19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7" xfId="19" applyFont="1" applyBorder="1" applyAlignment="1">
      <alignment horizontal="center" wrapText="1"/>
    </xf>
    <xf numFmtId="43" fontId="3" fillId="0" borderId="1" xfId="19" applyFont="1" applyBorder="1" applyAlignment="1">
      <alignment horizontal="center" wrapText="1"/>
    </xf>
    <xf numFmtId="43" fontId="5" fillId="0" borderId="4" xfId="19" applyFont="1" applyBorder="1" applyAlignment="1">
      <alignment horizontal="center" wrapText="1"/>
    </xf>
    <xf numFmtId="43" fontId="5" fillId="0" borderId="2" xfId="19" applyFont="1" applyBorder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Сравнительный анализ оплаты населения за теплоэнергию, руб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Лист2!$A$4</c:f>
              <c:strCache>
                <c:ptCount val="1"/>
                <c:pt idx="0">
                  <c:v>выставлено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Лист2!$B$3:$D$3</c:f>
              <c:strCache>
                <c:ptCount val="3"/>
                <c:pt idx="0">
                  <c:v>Ломоносова 29/1</c:v>
                </c:pt>
                <c:pt idx="1">
                  <c:v>Курашова 30/5</c:v>
                </c:pt>
                <c:pt idx="2">
                  <c:v>Пушкина 12</c:v>
                </c:pt>
              </c:strCache>
            </c:strRef>
          </c:cat>
          <c:val>
            <c:numRef>
              <c:f>Лист2!$B$4:$D$4</c:f>
              <c:numCache>
                <c:ptCount val="3"/>
                <c:pt idx="0">
                  <c:v>748515.54</c:v>
                </c:pt>
                <c:pt idx="1">
                  <c:v>383748.74</c:v>
                </c:pt>
                <c:pt idx="2">
                  <c:v>299632.36</c:v>
                </c:pt>
              </c:numCache>
            </c:numRef>
          </c:val>
        </c:ser>
        <c:ser>
          <c:idx val="1"/>
          <c:order val="1"/>
          <c:tx>
            <c:strRef>
              <c:f>Лист2!$A$5</c:f>
              <c:strCache>
                <c:ptCount val="1"/>
                <c:pt idx="0">
                  <c:v>оплата населения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Лист2!$B$3:$D$3</c:f>
              <c:strCache>
                <c:ptCount val="3"/>
                <c:pt idx="0">
                  <c:v>Ломоносова 29/1</c:v>
                </c:pt>
                <c:pt idx="1">
                  <c:v>Курашова 30/5</c:v>
                </c:pt>
                <c:pt idx="2">
                  <c:v>Пушкина 12</c:v>
                </c:pt>
              </c:strCache>
            </c:strRef>
          </c:cat>
          <c:val>
            <c:numRef>
              <c:f>Лист2!$B$5:$D$5</c:f>
              <c:numCache>
                <c:ptCount val="3"/>
                <c:pt idx="0">
                  <c:v>977194.36</c:v>
                </c:pt>
                <c:pt idx="1">
                  <c:v>136784.8</c:v>
                </c:pt>
                <c:pt idx="2">
                  <c:v>16723.53</c:v>
                </c:pt>
              </c:numCache>
            </c:numRef>
          </c:val>
        </c:ser>
        <c:axId val="36755804"/>
        <c:axId val="62366781"/>
      </c:barChart>
      <c:catAx>
        <c:axId val="3675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66781"/>
        <c:crosses val="autoZero"/>
        <c:auto val="1"/>
        <c:lblOffset val="100"/>
        <c:noMultiLvlLbl val="0"/>
      </c:catAx>
      <c:valAx>
        <c:axId val="62366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55804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Сравнительный анализ оплаты населения за коммунальные услуги, руб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Лист2!$A$9</c:f>
              <c:strCache>
                <c:ptCount val="1"/>
                <c:pt idx="0">
                  <c:v>выставлено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Лист2!$B$8:$D$8</c:f>
              <c:strCache>
                <c:ptCount val="3"/>
                <c:pt idx="0">
                  <c:v>ХВС</c:v>
                </c:pt>
                <c:pt idx="1">
                  <c:v>ГВС</c:v>
                </c:pt>
                <c:pt idx="2">
                  <c:v>Канализация </c:v>
                </c:pt>
              </c:strCache>
            </c:strRef>
          </c:cat>
          <c:val>
            <c:numRef>
              <c:f>Лист2!$B$9:$D$9</c:f>
              <c:numCache>
                <c:ptCount val="3"/>
                <c:pt idx="0">
                  <c:v>94037.59</c:v>
                </c:pt>
                <c:pt idx="1">
                  <c:v>134822.87</c:v>
                </c:pt>
                <c:pt idx="2">
                  <c:v>78272.18</c:v>
                </c:pt>
              </c:numCache>
            </c:numRef>
          </c:val>
        </c:ser>
        <c:ser>
          <c:idx val="1"/>
          <c:order val="1"/>
          <c:tx>
            <c:strRef>
              <c:f>Лист2!$A$10</c:f>
              <c:strCache>
                <c:ptCount val="1"/>
                <c:pt idx="0">
                  <c:v>оплата населения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Лист2!$B$8:$D$8</c:f>
              <c:strCache>
                <c:ptCount val="3"/>
                <c:pt idx="0">
                  <c:v>ХВС</c:v>
                </c:pt>
                <c:pt idx="1">
                  <c:v>ГВС</c:v>
                </c:pt>
                <c:pt idx="2">
                  <c:v>Канализация </c:v>
                </c:pt>
              </c:strCache>
            </c:strRef>
          </c:cat>
          <c:val>
            <c:numRef>
              <c:f>Лист2!$B$10:$D$10</c:f>
              <c:numCache>
                <c:ptCount val="3"/>
                <c:pt idx="0">
                  <c:v>117240.23</c:v>
                </c:pt>
                <c:pt idx="1">
                  <c:v>96227.19</c:v>
                </c:pt>
                <c:pt idx="2">
                  <c:v>88692.95</c:v>
                </c:pt>
              </c:numCache>
            </c:numRef>
          </c:val>
        </c:ser>
        <c:axId val="24430118"/>
        <c:axId val="18544471"/>
      </c:barChart>
      <c:catAx>
        <c:axId val="24430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44471"/>
        <c:crosses val="autoZero"/>
        <c:auto val="1"/>
        <c:lblOffset val="100"/>
        <c:noMultiLvlLbl val="0"/>
      </c:catAx>
      <c:valAx>
        <c:axId val="18544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30118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Сравнительный анализ оплаты населения за жилищные услуги, руб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Лист2!$A$14</c:f>
              <c:strCache>
                <c:ptCount val="1"/>
                <c:pt idx="0">
                  <c:v>выставлено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Лист2!$B$13:$E$13</c:f>
              <c:strCache>
                <c:ptCount val="4"/>
                <c:pt idx="0">
                  <c:v>ТО ЖФ</c:v>
                </c:pt>
                <c:pt idx="1">
                  <c:v>ТО ЭО</c:v>
                </c:pt>
                <c:pt idx="2">
                  <c:v>Уборка двора </c:v>
                </c:pt>
                <c:pt idx="3">
                  <c:v>Уборка лестн.кл</c:v>
                </c:pt>
              </c:strCache>
            </c:strRef>
          </c:cat>
          <c:val>
            <c:numRef>
              <c:f>Лист2!$B$14:$E$14</c:f>
              <c:numCache>
                <c:ptCount val="4"/>
                <c:pt idx="0">
                  <c:v>471864.39</c:v>
                </c:pt>
                <c:pt idx="1">
                  <c:v>73564.94</c:v>
                </c:pt>
                <c:pt idx="2">
                  <c:v>120428.65</c:v>
                </c:pt>
                <c:pt idx="3">
                  <c:v>170067.69999999998</c:v>
                </c:pt>
              </c:numCache>
            </c:numRef>
          </c:val>
        </c:ser>
        <c:ser>
          <c:idx val="1"/>
          <c:order val="1"/>
          <c:tx>
            <c:strRef>
              <c:f>Лист2!$A$15</c:f>
              <c:strCache>
                <c:ptCount val="1"/>
                <c:pt idx="0">
                  <c:v>оплата населения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Лист2!$B$13:$E$13</c:f>
              <c:strCache>
                <c:ptCount val="4"/>
                <c:pt idx="0">
                  <c:v>ТО ЖФ</c:v>
                </c:pt>
                <c:pt idx="1">
                  <c:v>ТО ЭО</c:v>
                </c:pt>
                <c:pt idx="2">
                  <c:v>Уборка двора </c:v>
                </c:pt>
                <c:pt idx="3">
                  <c:v>Уборка лестн.кл</c:v>
                </c:pt>
              </c:strCache>
            </c:strRef>
          </c:cat>
          <c:val>
            <c:numRef>
              <c:f>Лист2!$B$15:$E$15</c:f>
              <c:numCache>
                <c:ptCount val="4"/>
                <c:pt idx="0">
                  <c:v>310642.37</c:v>
                </c:pt>
                <c:pt idx="1">
                  <c:v>47449.62</c:v>
                </c:pt>
                <c:pt idx="2">
                  <c:v>80975.21</c:v>
                </c:pt>
                <c:pt idx="3">
                  <c:v>114203.9</c:v>
                </c:pt>
              </c:numCache>
            </c:numRef>
          </c:val>
        </c:ser>
        <c:axId val="32682512"/>
        <c:axId val="25707153"/>
      </c:barChart>
      <c:catAx>
        <c:axId val="32682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07153"/>
        <c:crosses val="autoZero"/>
        <c:auto val="1"/>
        <c:lblOffset val="100"/>
        <c:noMultiLvlLbl val="0"/>
      </c:catAx>
      <c:valAx>
        <c:axId val="25707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82512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Chart 1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90;&#1095;&#1077;&#1090;%20&#1054;&#1054;&#1054;%20&#1059;&#1050;%20&#1040;&#1083;&#1100;&#1090;&#1072;&#1080;&#1088;%20&#1079;&#1072;%202011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иход"/>
      <sheetName val="К-29"/>
      <sheetName val="Л-29,1"/>
      <sheetName val="О-22"/>
      <sheetName val="К-30,5"/>
      <sheetName val="п-12"/>
      <sheetName val="К-28"/>
      <sheetName val="СВОД"/>
      <sheetName val="жилищка"/>
      <sheetName val="жилищка К-28"/>
      <sheetName val="Лист5"/>
      <sheetName val="Лист3"/>
      <sheetName val="Лист2"/>
    </sheetNames>
    <sheetDataSet>
      <sheetData sheetId="1">
        <row r="8">
          <cell r="F8">
            <v>136784.796622</v>
          </cell>
          <cell r="G8">
            <v>16723.529944</v>
          </cell>
        </row>
        <row r="9">
          <cell r="F9">
            <v>6390.258821</v>
          </cell>
          <cell r="G9">
            <v>869.848034</v>
          </cell>
        </row>
        <row r="10">
          <cell r="F10">
            <v>13089.340559</v>
          </cell>
          <cell r="G10">
            <v>1012.6969780000001</v>
          </cell>
        </row>
        <row r="11">
          <cell r="F11">
            <v>8290.707541</v>
          </cell>
          <cell r="G11">
            <v>1012.6969780000001</v>
          </cell>
        </row>
        <row r="12">
          <cell r="F12">
            <v>5725.101769</v>
          </cell>
          <cell r="G12">
            <v>752.50783</v>
          </cell>
        </row>
        <row r="13">
          <cell r="F13">
            <v>37581.373438</v>
          </cell>
          <cell r="G13">
            <v>4543.106594000001</v>
          </cell>
        </row>
        <row r="14">
          <cell r="C14">
            <v>0</v>
          </cell>
          <cell r="F14">
            <v>15084.811715</v>
          </cell>
        </row>
        <row r="15">
          <cell r="F15">
            <v>1639.137021</v>
          </cell>
        </row>
        <row r="17">
          <cell r="F17">
            <v>8171.929496000001</v>
          </cell>
        </row>
        <row r="18">
          <cell r="F18">
            <v>4798.6330179999995</v>
          </cell>
          <cell r="G18">
            <v>594.353642</v>
          </cell>
        </row>
        <row r="22">
          <cell r="F22">
            <v>15200.86</v>
          </cell>
          <cell r="G22">
            <v>1313.6</v>
          </cell>
        </row>
        <row r="23">
          <cell r="F23">
            <v>21184.73</v>
          </cell>
          <cell r="G23">
            <v>2532.68</v>
          </cell>
        </row>
        <row r="24">
          <cell r="F24">
            <v>15350.67</v>
          </cell>
          <cell r="G24">
            <v>1547.41</v>
          </cell>
        </row>
        <row r="25">
          <cell r="C25">
            <v>0</v>
          </cell>
          <cell r="F25">
            <v>63861.76</v>
          </cell>
          <cell r="G25">
            <v>5807.49</v>
          </cell>
        </row>
        <row r="26">
          <cell r="C26">
            <v>0</v>
          </cell>
        </row>
        <row r="29">
          <cell r="F29">
            <v>25953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A1">
      <pane xSplit="3" ySplit="4" topLeftCell="G2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IV16384"/>
    </sheetView>
  </sheetViews>
  <sheetFormatPr defaultColWidth="9.00390625" defaultRowHeight="12.75"/>
  <cols>
    <col min="1" max="1" width="4.75390625" style="1" customWidth="1"/>
    <col min="2" max="2" width="41.625" style="6" customWidth="1"/>
    <col min="3" max="3" width="27.00390625" style="3" customWidth="1"/>
    <col min="4" max="4" width="14.75390625" style="3" customWidth="1"/>
    <col min="5" max="5" width="14.375" style="3" customWidth="1"/>
    <col min="6" max="6" width="15.25390625" style="4" customWidth="1"/>
    <col min="7" max="11" width="14.875" style="4" customWidth="1"/>
    <col min="12" max="12" width="15.625" style="4" customWidth="1"/>
    <col min="13" max="13" width="14.00390625" style="1" bestFit="1" customWidth="1"/>
    <col min="14" max="16384" width="9.125" style="1" customWidth="1"/>
  </cols>
  <sheetData>
    <row r="1" ht="36">
      <c r="B1" s="2" t="s">
        <v>97</v>
      </c>
    </row>
    <row r="3" spans="1:12" s="7" customFormat="1" ht="12.75" customHeight="1">
      <c r="A3" s="78" t="s">
        <v>0</v>
      </c>
      <c r="B3" s="80" t="s">
        <v>1</v>
      </c>
      <c r="C3" s="82" t="s">
        <v>2</v>
      </c>
      <c r="D3" s="75" t="s">
        <v>3</v>
      </c>
      <c r="E3" s="76"/>
      <c r="F3" s="76"/>
      <c r="G3" s="76"/>
      <c r="H3" s="77"/>
      <c r="I3" s="75" t="s">
        <v>4</v>
      </c>
      <c r="J3" s="76"/>
      <c r="K3" s="76"/>
      <c r="L3" s="77"/>
    </row>
    <row r="4" spans="1:12" s="7" customFormat="1" ht="51" customHeight="1">
      <c r="A4" s="79"/>
      <c r="B4" s="81"/>
      <c r="C4" s="83"/>
      <c r="D4" s="11" t="s">
        <v>5</v>
      </c>
      <c r="E4" s="11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</row>
    <row r="5" spans="1:12" s="7" customFormat="1" ht="15" customHeight="1">
      <c r="A5" s="8"/>
      <c r="B5" s="9" t="s">
        <v>14</v>
      </c>
      <c r="C5" s="10">
        <v>5689.1</v>
      </c>
      <c r="D5" s="11"/>
      <c r="E5" s="11"/>
      <c r="F5" s="12"/>
      <c r="G5" s="12"/>
      <c r="H5" s="12"/>
      <c r="I5" s="9"/>
      <c r="J5" s="9"/>
      <c r="K5" s="9"/>
      <c r="L5" s="9"/>
    </row>
    <row r="6" spans="1:12" s="7" customFormat="1" ht="12">
      <c r="A6" s="13"/>
      <c r="B6" s="12" t="s">
        <v>15</v>
      </c>
      <c r="C6" s="11">
        <v>207</v>
      </c>
      <c r="D6" s="11"/>
      <c r="E6" s="11"/>
      <c r="F6" s="14"/>
      <c r="G6" s="14"/>
      <c r="H6" s="14"/>
      <c r="I6" s="14"/>
      <c r="J6" s="14"/>
      <c r="K6" s="14"/>
      <c r="L6" s="14"/>
    </row>
    <row r="7" spans="1:12" s="7" customFormat="1" ht="12">
      <c r="A7" s="15">
        <v>1</v>
      </c>
      <c r="B7" s="15" t="s">
        <v>16</v>
      </c>
      <c r="C7" s="11"/>
      <c r="D7" s="11"/>
      <c r="E7" s="11"/>
      <c r="F7" s="14"/>
      <c r="G7" s="14"/>
      <c r="H7" s="14"/>
      <c r="I7" s="14"/>
      <c r="J7" s="14"/>
      <c r="K7" s="14"/>
      <c r="L7" s="14"/>
    </row>
    <row r="8" spans="1:13" s="7" customFormat="1" ht="12">
      <c r="A8" s="16"/>
      <c r="B8" s="16"/>
      <c r="C8" s="11"/>
      <c r="D8" s="11"/>
      <c r="E8" s="11"/>
      <c r="F8" s="14"/>
      <c r="G8" s="14"/>
      <c r="H8" s="14"/>
      <c r="I8" s="14"/>
      <c r="J8" s="14"/>
      <c r="K8" s="14"/>
      <c r="L8" s="14"/>
      <c r="M8" s="17"/>
    </row>
    <row r="9" spans="1:17" s="25" customFormat="1" ht="12">
      <c r="A9" s="18" t="s">
        <v>17</v>
      </c>
      <c r="B9" s="19" t="s">
        <v>18</v>
      </c>
      <c r="C9" s="20" t="s">
        <v>19</v>
      </c>
      <c r="D9" s="21">
        <f>477641.72*43.5%</f>
        <v>207774.1482</v>
      </c>
      <c r="E9" s="21">
        <f>4918162.21*45.6%</f>
        <v>2242681.96776</v>
      </c>
      <c r="F9" s="22">
        <f>D9+E9</f>
        <v>2450456.11596</v>
      </c>
      <c r="G9" s="22">
        <v>1991298.05</v>
      </c>
      <c r="H9" s="63">
        <f>G9-F9</f>
        <v>-459158.06596000004</v>
      </c>
      <c r="I9" s="22">
        <v>416787.1</v>
      </c>
      <c r="J9" s="22">
        <v>1347820.09</v>
      </c>
      <c r="K9" s="22">
        <v>1386831.11</v>
      </c>
      <c r="L9" s="58">
        <f>K9-I9-J9</f>
        <v>-377776.07999999996</v>
      </c>
      <c r="M9" s="24"/>
      <c r="N9" s="24"/>
      <c r="O9" s="24"/>
      <c r="P9" s="24"/>
      <c r="Q9" s="24"/>
    </row>
    <row r="10" spans="1:17" s="25" customFormat="1" ht="12">
      <c r="A10" s="26" t="s">
        <v>20</v>
      </c>
      <c r="B10" s="27" t="s">
        <v>21</v>
      </c>
      <c r="C10" s="20" t="s">
        <v>22</v>
      </c>
      <c r="D10" s="21">
        <f>477641.72*2.51%</f>
        <v>11988.807171999999</v>
      </c>
      <c r="E10" s="21">
        <f>4918162.21*2.29%</f>
        <v>112625.914609</v>
      </c>
      <c r="F10" s="22">
        <f aca="true" t="shared" si="0" ref="F10:F20">D10+E10</f>
        <v>124614.721781</v>
      </c>
      <c r="G10" s="22">
        <v>99727.5</v>
      </c>
      <c r="H10" s="63">
        <f aca="true" t="shared" si="1" ref="H10:H30">G10-F10</f>
        <v>-24887.221781</v>
      </c>
      <c r="I10" s="22">
        <v>108991.16</v>
      </c>
      <c r="J10" s="22">
        <f>5689.1*1.63*12</f>
        <v>111278.796</v>
      </c>
      <c r="K10" s="22">
        <v>220269.96</v>
      </c>
      <c r="L10" s="58">
        <v>0</v>
      </c>
      <c r="M10" s="24"/>
      <c r="N10" s="24"/>
      <c r="O10" s="24"/>
      <c r="P10" s="24"/>
      <c r="Q10" s="24"/>
    </row>
    <row r="11" spans="1:17" s="25" customFormat="1" ht="12">
      <c r="A11" s="26" t="s">
        <v>23</v>
      </c>
      <c r="B11" s="27" t="s">
        <v>24</v>
      </c>
      <c r="C11" s="20" t="s">
        <v>22</v>
      </c>
      <c r="D11" s="21">
        <f>477641.72*2.89%</f>
        <v>13803.845708</v>
      </c>
      <c r="E11" s="21">
        <f>4918162.21*2.64%</f>
        <v>129839.482344</v>
      </c>
      <c r="F11" s="22">
        <f t="shared" si="0"/>
        <v>143643.328052</v>
      </c>
      <c r="G11" s="22">
        <v>114954.01</v>
      </c>
      <c r="H11" s="63">
        <f t="shared" si="1"/>
        <v>-28689.318052000002</v>
      </c>
      <c r="I11" s="22">
        <v>125726.03</v>
      </c>
      <c r="J11" s="22">
        <f>5689.1*1.88*12</f>
        <v>128346.09599999999</v>
      </c>
      <c r="K11" s="22">
        <v>254072.13</v>
      </c>
      <c r="L11" s="58">
        <v>0</v>
      </c>
      <c r="M11" s="24"/>
      <c r="N11" s="24"/>
      <c r="O11" s="24"/>
      <c r="P11" s="24"/>
      <c r="Q11" s="24"/>
    </row>
    <row r="12" spans="1:17" s="25" customFormat="1" ht="24">
      <c r="A12" s="28" t="s">
        <v>25</v>
      </c>
      <c r="B12" s="19" t="s">
        <v>26</v>
      </c>
      <c r="C12" s="29" t="s">
        <v>27</v>
      </c>
      <c r="D12" s="21">
        <f>477641.72*2.31%</f>
        <v>11033.523732</v>
      </c>
      <c r="E12" s="21">
        <f>4918162.21*2.76%</f>
        <v>135741.276996</v>
      </c>
      <c r="F12" s="22">
        <f t="shared" si="0"/>
        <v>146774.800728</v>
      </c>
      <c r="G12" s="22">
        <v>120644.77</v>
      </c>
      <c r="H12" s="63">
        <f t="shared" si="1"/>
        <v>-26130.030727999998</v>
      </c>
      <c r="I12" s="22">
        <f>26758.95</f>
        <v>26758.95</v>
      </c>
      <c r="J12" s="22">
        <f>110664+61600</f>
        <v>172264</v>
      </c>
      <c r="K12" s="22">
        <f>110664+61600</f>
        <v>172264</v>
      </c>
      <c r="L12" s="58">
        <f aca="true" t="shared" si="2" ref="L12:L20">K12-I12-J12</f>
        <v>-26758.95000000001</v>
      </c>
      <c r="M12" s="24"/>
      <c r="N12" s="24"/>
      <c r="O12" s="24"/>
      <c r="P12" s="24"/>
      <c r="Q12" s="24"/>
    </row>
    <row r="13" spans="1:17" s="25" customFormat="1" ht="12">
      <c r="A13" s="26" t="s">
        <v>28</v>
      </c>
      <c r="B13" s="30" t="s">
        <v>29</v>
      </c>
      <c r="C13" s="20" t="s">
        <v>22</v>
      </c>
      <c r="D13" s="21">
        <f>477641.72*2.25%</f>
        <v>10746.938699999999</v>
      </c>
      <c r="E13" s="21">
        <f>4918162.21*2.05%</f>
        <v>100822.32530499999</v>
      </c>
      <c r="F13" s="22">
        <f t="shared" si="0"/>
        <v>111569.26400499999</v>
      </c>
      <c r="G13" s="22">
        <v>89604.85</v>
      </c>
      <c r="H13" s="63">
        <f t="shared" si="1"/>
        <v>-21964.414004999984</v>
      </c>
      <c r="I13" s="22">
        <v>90969</v>
      </c>
      <c r="J13" s="22">
        <f>5689.1*1.36*12</f>
        <v>92846.11200000002</v>
      </c>
      <c r="K13" s="22">
        <v>183815.11</v>
      </c>
      <c r="L13" s="58">
        <v>0</v>
      </c>
      <c r="M13" s="24"/>
      <c r="N13" s="24"/>
      <c r="O13" s="24"/>
      <c r="P13" s="24"/>
      <c r="Q13" s="24"/>
    </row>
    <row r="14" spans="1:17" s="25" customFormat="1" ht="12">
      <c r="A14" s="26" t="s">
        <v>30</v>
      </c>
      <c r="B14" s="30" t="s">
        <v>31</v>
      </c>
      <c r="C14" s="20" t="s">
        <v>22</v>
      </c>
      <c r="D14" s="21">
        <f>477641.72*12.25%</f>
        <v>58511.1107</v>
      </c>
      <c r="E14" s="21">
        <f>4918162.21*11.17%</f>
        <v>549358.718857</v>
      </c>
      <c r="F14" s="22">
        <f t="shared" si="0"/>
        <v>607869.829557</v>
      </c>
      <c r="G14" s="22">
        <v>487911.64</v>
      </c>
      <c r="H14" s="63">
        <f t="shared" si="1"/>
        <v>-119958.18955699995</v>
      </c>
      <c r="I14" s="22">
        <v>532511.97</v>
      </c>
      <c r="J14" s="22">
        <f>5689.1*7.96*12</f>
        <v>543422.832</v>
      </c>
      <c r="K14" s="22">
        <f>568363.28+22774.52-56989.36</f>
        <v>534148.4400000001</v>
      </c>
      <c r="L14" s="58">
        <f t="shared" si="2"/>
        <v>-541786.362</v>
      </c>
      <c r="M14" s="24"/>
      <c r="N14" s="24"/>
      <c r="O14" s="24"/>
      <c r="P14" s="24"/>
      <c r="Q14" s="24"/>
    </row>
    <row r="15" spans="1:17" s="25" customFormat="1" ht="12" hidden="1">
      <c r="A15" s="28"/>
      <c r="B15" s="19"/>
      <c r="C15" s="20"/>
      <c r="D15" s="21">
        <v>0</v>
      </c>
      <c r="E15" s="21"/>
      <c r="F15" s="22">
        <f t="shared" si="0"/>
        <v>0</v>
      </c>
      <c r="G15" s="22">
        <f>'[1]приход'!C14</f>
        <v>0</v>
      </c>
      <c r="H15" s="63">
        <f t="shared" si="1"/>
        <v>0</v>
      </c>
      <c r="I15" s="22"/>
      <c r="J15" s="22"/>
      <c r="K15" s="22"/>
      <c r="L15" s="58">
        <f t="shared" si="2"/>
        <v>0</v>
      </c>
      <c r="M15" s="24"/>
      <c r="N15" s="24"/>
      <c r="O15" s="24"/>
      <c r="P15" s="24"/>
      <c r="Q15" s="24"/>
    </row>
    <row r="16" spans="1:17" s="25" customFormat="1" ht="12">
      <c r="A16" s="28" t="s">
        <v>32</v>
      </c>
      <c r="B16" s="19" t="s">
        <v>33</v>
      </c>
      <c r="C16" s="20" t="s">
        <v>34</v>
      </c>
      <c r="D16" s="21">
        <f>477641.72*0.62%</f>
        <v>2961.378664</v>
      </c>
      <c r="E16" s="21">
        <f>4918162.21*0.63%</f>
        <v>30984.421923</v>
      </c>
      <c r="F16" s="22">
        <f t="shared" si="0"/>
        <v>33945.800587000005</v>
      </c>
      <c r="G16" s="22">
        <v>27611.06</v>
      </c>
      <c r="H16" s="63">
        <f t="shared" si="1"/>
        <v>-6334.740587000004</v>
      </c>
      <c r="I16" s="22">
        <v>21800</v>
      </c>
      <c r="J16" s="22">
        <v>37551.9</v>
      </c>
      <c r="K16" s="22">
        <v>35159.9</v>
      </c>
      <c r="L16" s="58">
        <f t="shared" si="2"/>
        <v>-24192</v>
      </c>
      <c r="M16" s="24"/>
      <c r="N16" s="24"/>
      <c r="O16" s="24"/>
      <c r="P16" s="24"/>
      <c r="Q16" s="24"/>
    </row>
    <row r="17" spans="1:17" s="25" customFormat="1" ht="12">
      <c r="A17" s="28" t="s">
        <v>35</v>
      </c>
      <c r="B17" s="19" t="s">
        <v>36</v>
      </c>
      <c r="C17" s="20" t="s">
        <v>94</v>
      </c>
      <c r="D17" s="21">
        <f>477641.72*1.16%</f>
        <v>5540.643951999999</v>
      </c>
      <c r="E17" s="21">
        <f>4918162.21*1.12%</f>
        <v>55083.416752000005</v>
      </c>
      <c r="F17" s="22">
        <f t="shared" si="0"/>
        <v>60624.060704</v>
      </c>
      <c r="G17" s="22">
        <v>49269.17</v>
      </c>
      <c r="H17" s="63">
        <f t="shared" si="1"/>
        <v>-11354.890704000005</v>
      </c>
      <c r="I17" s="22">
        <v>13213</v>
      </c>
      <c r="J17" s="22">
        <v>57408</v>
      </c>
      <c r="K17" s="22">
        <v>28704</v>
      </c>
      <c r="L17" s="58">
        <f t="shared" si="2"/>
        <v>-41917</v>
      </c>
      <c r="M17" s="24"/>
      <c r="N17" s="24"/>
      <c r="O17" s="24"/>
      <c r="P17" s="24"/>
      <c r="Q17" s="24"/>
    </row>
    <row r="18" spans="1:17" s="25" customFormat="1" ht="12">
      <c r="A18" s="28" t="s">
        <v>37</v>
      </c>
      <c r="B18" s="19" t="s">
        <v>38</v>
      </c>
      <c r="C18" s="29" t="s">
        <v>34</v>
      </c>
      <c r="D18" s="21">
        <f>477641.72*3.11%</f>
        <v>14854.657491999998</v>
      </c>
      <c r="E18" s="21">
        <f>4918162.21*2.94%</f>
        <v>144593.968974</v>
      </c>
      <c r="F18" s="22">
        <f t="shared" si="0"/>
        <v>159448.626466</v>
      </c>
      <c r="G18" s="22">
        <v>128260.52</v>
      </c>
      <c r="H18" s="63">
        <f t="shared" si="1"/>
        <v>-31188.106465999983</v>
      </c>
      <c r="I18" s="22">
        <f>11006.25+2000</f>
        <v>13006.25</v>
      </c>
      <c r="J18" s="22">
        <v>140941.1</v>
      </c>
      <c r="K18" s="22">
        <v>124728.84</v>
      </c>
      <c r="L18" s="58">
        <f t="shared" si="2"/>
        <v>-29218.51000000001</v>
      </c>
      <c r="M18" s="24"/>
      <c r="N18" s="24"/>
      <c r="O18" s="24"/>
      <c r="P18" s="24"/>
      <c r="Q18" s="24"/>
    </row>
    <row r="19" spans="1:17" s="25" customFormat="1" ht="12">
      <c r="A19" s="28" t="s">
        <v>39</v>
      </c>
      <c r="B19" s="19" t="s">
        <v>40</v>
      </c>
      <c r="C19" s="20" t="s">
        <v>19</v>
      </c>
      <c r="D19" s="21">
        <f>477641.72*1.62%</f>
        <v>7737.795864000001</v>
      </c>
      <c r="E19" s="21">
        <f>4918162.21*1.77%</f>
        <v>87051.47111700001</v>
      </c>
      <c r="F19" s="22">
        <f t="shared" si="0"/>
        <v>94789.26698100001</v>
      </c>
      <c r="G19" s="22">
        <v>77276.93</v>
      </c>
      <c r="H19" s="63">
        <f t="shared" si="1"/>
        <v>-17512.336981000015</v>
      </c>
      <c r="I19" s="22">
        <v>7005.71</v>
      </c>
      <c r="J19" s="22">
        <v>58054.54</v>
      </c>
      <c r="K19" s="22">
        <v>60300</v>
      </c>
      <c r="L19" s="58">
        <f t="shared" si="2"/>
        <v>-4760.25</v>
      </c>
      <c r="M19" s="24"/>
      <c r="N19" s="24"/>
      <c r="O19" s="24"/>
      <c r="P19" s="24"/>
      <c r="Q19" s="24"/>
    </row>
    <row r="20" spans="1:17" s="25" customFormat="1" ht="24">
      <c r="A20" s="28" t="s">
        <v>41</v>
      </c>
      <c r="B20" s="65" t="s">
        <v>96</v>
      </c>
      <c r="C20" s="20" t="s">
        <v>42</v>
      </c>
      <c r="D20" s="21">
        <f>477641.72*7.7%</f>
        <v>36778.41244</v>
      </c>
      <c r="E20" s="21">
        <f>4918162.21*6.89%</f>
        <v>338861.376269</v>
      </c>
      <c r="F20" s="22">
        <f t="shared" si="0"/>
        <v>375639.788709</v>
      </c>
      <c r="G20" s="22">
        <v>300767.38</v>
      </c>
      <c r="H20" s="63">
        <f t="shared" si="1"/>
        <v>-74872.40870899998</v>
      </c>
      <c r="I20" s="22"/>
      <c r="J20" s="22">
        <v>24000</v>
      </c>
      <c r="K20" s="22">
        <v>24000</v>
      </c>
      <c r="L20" s="58">
        <f t="shared" si="2"/>
        <v>0</v>
      </c>
      <c r="M20" s="24"/>
      <c r="N20" s="24"/>
      <c r="O20" s="24"/>
      <c r="P20" s="24"/>
      <c r="Q20" s="24"/>
    </row>
    <row r="21" spans="1:17" s="25" customFormat="1" ht="12">
      <c r="A21" s="28"/>
      <c r="B21" s="19"/>
      <c r="C21" s="20"/>
      <c r="D21" s="21"/>
      <c r="E21" s="21"/>
      <c r="F21" s="22"/>
      <c r="G21" s="22"/>
      <c r="H21" s="63"/>
      <c r="I21" s="22"/>
      <c r="J21" s="22"/>
      <c r="K21" s="22"/>
      <c r="L21" s="23"/>
      <c r="M21" s="24"/>
      <c r="N21" s="24"/>
      <c r="O21" s="24"/>
      <c r="P21" s="24"/>
      <c r="Q21" s="24"/>
    </row>
    <row r="22" spans="1:17" s="35" customFormat="1" ht="12">
      <c r="A22" s="31"/>
      <c r="B22" s="31" t="s">
        <v>43</v>
      </c>
      <c r="C22" s="32"/>
      <c r="D22" s="33">
        <f aca="true" t="shared" si="3" ref="D22:L22">SUM(D9:D20)</f>
        <v>381731.26262399997</v>
      </c>
      <c r="E22" s="33">
        <f t="shared" si="3"/>
        <v>3927644.340906</v>
      </c>
      <c r="F22" s="33">
        <f t="shared" si="3"/>
        <v>4309375.60353</v>
      </c>
      <c r="G22" s="33">
        <f t="shared" si="3"/>
        <v>3487325.8800000004</v>
      </c>
      <c r="H22" s="59">
        <f t="shared" si="3"/>
        <v>-822049.7235300001</v>
      </c>
      <c r="I22" s="33">
        <f t="shared" si="3"/>
        <v>1356769.17</v>
      </c>
      <c r="J22" s="33">
        <f t="shared" si="3"/>
        <v>2713933.466</v>
      </c>
      <c r="K22" s="33">
        <f t="shared" si="3"/>
        <v>3024293.4899999998</v>
      </c>
      <c r="L22" s="59">
        <f t="shared" si="3"/>
        <v>-1046409.152</v>
      </c>
      <c r="M22" s="34"/>
      <c r="N22" s="34"/>
      <c r="O22" s="34"/>
      <c r="P22" s="34"/>
      <c r="Q22" s="34"/>
    </row>
    <row r="23" spans="1:17" s="35" customFormat="1" ht="12">
      <c r="A23" s="16"/>
      <c r="B23" s="16"/>
      <c r="C23" s="20"/>
      <c r="D23" s="21"/>
      <c r="E23" s="21"/>
      <c r="F23" s="21"/>
      <c r="G23" s="21"/>
      <c r="H23" s="64"/>
      <c r="I23" s="21"/>
      <c r="J23" s="21"/>
      <c r="K23" s="21"/>
      <c r="L23" s="21"/>
      <c r="M23" s="34"/>
      <c r="N23" s="34"/>
      <c r="O23" s="34"/>
      <c r="P23" s="34"/>
      <c r="Q23" s="34"/>
    </row>
    <row r="24" spans="1:17" s="25" customFormat="1" ht="12">
      <c r="A24" s="15">
        <v>2</v>
      </c>
      <c r="B24" s="15" t="s">
        <v>44</v>
      </c>
      <c r="C24" s="36" t="s">
        <v>45</v>
      </c>
      <c r="D24" s="21">
        <f>477641.72*6.32%</f>
        <v>30186.956704</v>
      </c>
      <c r="E24" s="21">
        <f>4918162.21*6.38%</f>
        <v>313778.748998</v>
      </c>
      <c r="F24" s="22">
        <f aca="true" t="shared" si="4" ref="F24:F30">D24+E24</f>
        <v>343965.705702</v>
      </c>
      <c r="G24" s="22">
        <v>324685.67</v>
      </c>
      <c r="H24" s="63">
        <f t="shared" si="1"/>
        <v>-19280.035702000023</v>
      </c>
      <c r="I24" s="22">
        <v>605882.01</v>
      </c>
      <c r="J24" s="22">
        <v>810660.71</v>
      </c>
      <c r="K24" s="22">
        <v>341532.89</v>
      </c>
      <c r="L24" s="58">
        <f>K24-I24-J24</f>
        <v>-1075009.83</v>
      </c>
      <c r="M24" s="24"/>
      <c r="N24" s="24"/>
      <c r="O24" s="24"/>
      <c r="P24" s="24"/>
      <c r="Q24" s="24"/>
    </row>
    <row r="25" spans="1:17" s="25" customFormat="1" ht="12">
      <c r="A25" s="15">
        <v>3</v>
      </c>
      <c r="B25" s="15" t="s">
        <v>46</v>
      </c>
      <c r="C25" s="36" t="s">
        <v>47</v>
      </c>
      <c r="D25" s="21">
        <f>477641.72*7.5%</f>
        <v>35823.12899999999</v>
      </c>
      <c r="E25" s="21">
        <f>4918162.21*7.56%</f>
        <v>371813.063076</v>
      </c>
      <c r="F25" s="22">
        <f t="shared" si="4"/>
        <v>407636.19207600004</v>
      </c>
      <c r="G25" s="22">
        <v>399746.13</v>
      </c>
      <c r="H25" s="63">
        <f t="shared" si="1"/>
        <v>-7890.062076000031</v>
      </c>
      <c r="I25" s="22">
        <v>94303.49</v>
      </c>
      <c r="J25" s="22">
        <v>582114.68</v>
      </c>
      <c r="K25" s="22">
        <v>580000</v>
      </c>
      <c r="L25" s="58">
        <f>K25-I25-J25</f>
        <v>-96418.17000000004</v>
      </c>
      <c r="M25" s="24"/>
      <c r="N25" s="24"/>
      <c r="O25" s="24"/>
      <c r="P25" s="24"/>
      <c r="Q25" s="24"/>
    </row>
    <row r="26" spans="1:17" s="25" customFormat="1" ht="11.25" customHeight="1">
      <c r="A26" s="15">
        <v>4</v>
      </c>
      <c r="B26" s="15" t="s">
        <v>48</v>
      </c>
      <c r="C26" s="36" t="s">
        <v>45</v>
      </c>
      <c r="D26" s="21">
        <f>477641.72*6.26%</f>
        <v>29900.371672</v>
      </c>
      <c r="E26" s="21">
        <f>4918162.21*6.2%</f>
        <v>304926.05702</v>
      </c>
      <c r="F26" s="22">
        <f t="shared" si="4"/>
        <v>334826.428692</v>
      </c>
      <c r="G26" s="22">
        <v>318224.73</v>
      </c>
      <c r="H26" s="63">
        <f t="shared" si="1"/>
        <v>-16601.698692000005</v>
      </c>
      <c r="I26" s="22">
        <v>511569.14</v>
      </c>
      <c r="J26" s="22">
        <v>684438.78</v>
      </c>
      <c r="K26" s="22">
        <v>288369.15</v>
      </c>
      <c r="L26" s="58">
        <f aca="true" t="shared" si="5" ref="L26:L31">K26-I26-J26</f>
        <v>-907638.77</v>
      </c>
      <c r="M26" s="24"/>
      <c r="N26" s="24"/>
      <c r="O26" s="24"/>
      <c r="P26" s="24"/>
      <c r="Q26" s="24"/>
    </row>
    <row r="27" spans="1:17" s="25" customFormat="1" ht="0.75" customHeight="1" hidden="1">
      <c r="A27" s="15"/>
      <c r="B27" s="15"/>
      <c r="C27" s="36"/>
      <c r="D27" s="21"/>
      <c r="E27" s="21"/>
      <c r="F27" s="22">
        <f t="shared" si="4"/>
        <v>0</v>
      </c>
      <c r="G27" s="22">
        <f>'[1]приход'!C25</f>
        <v>0</v>
      </c>
      <c r="H27" s="63">
        <f t="shared" si="1"/>
        <v>0</v>
      </c>
      <c r="I27" s="22"/>
      <c r="J27" s="22"/>
      <c r="K27" s="22"/>
      <c r="L27" s="23">
        <f t="shared" si="5"/>
        <v>0</v>
      </c>
      <c r="M27" s="24"/>
      <c r="N27" s="24"/>
      <c r="O27" s="24"/>
      <c r="P27" s="24"/>
      <c r="Q27" s="24"/>
    </row>
    <row r="28" spans="1:17" s="25" customFormat="1" ht="12" hidden="1">
      <c r="A28" s="15"/>
      <c r="B28" s="15"/>
      <c r="C28" s="36"/>
      <c r="D28" s="21"/>
      <c r="E28" s="21"/>
      <c r="F28" s="22">
        <f t="shared" si="4"/>
        <v>0</v>
      </c>
      <c r="G28" s="22">
        <f>'[1]приход'!C26</f>
        <v>0</v>
      </c>
      <c r="H28" s="63">
        <f t="shared" si="1"/>
        <v>0</v>
      </c>
      <c r="I28" s="22"/>
      <c r="J28" s="22"/>
      <c r="K28" s="22"/>
      <c r="L28" s="23">
        <f t="shared" si="5"/>
        <v>0</v>
      </c>
      <c r="M28" s="24"/>
      <c r="N28" s="24"/>
      <c r="O28" s="24"/>
      <c r="P28" s="24"/>
      <c r="Q28" s="24"/>
    </row>
    <row r="29" spans="1:17" s="25" customFormat="1" ht="12" customHeight="1">
      <c r="A29" s="15"/>
      <c r="B29" s="15"/>
      <c r="C29" s="36"/>
      <c r="D29" s="21"/>
      <c r="E29" s="21"/>
      <c r="F29" s="22">
        <f t="shared" si="4"/>
        <v>0</v>
      </c>
      <c r="G29" s="22"/>
      <c r="H29" s="63">
        <f t="shared" si="1"/>
        <v>0</v>
      </c>
      <c r="I29" s="22"/>
      <c r="J29" s="22"/>
      <c r="K29" s="22"/>
      <c r="L29" s="23">
        <f t="shared" si="5"/>
        <v>0</v>
      </c>
      <c r="M29" s="24"/>
      <c r="N29" s="24"/>
      <c r="O29" s="24"/>
      <c r="P29" s="24"/>
      <c r="Q29" s="24"/>
    </row>
    <row r="30" spans="1:17" s="25" customFormat="1" ht="12" hidden="1">
      <c r="A30" s="15"/>
      <c r="B30" s="15" t="s">
        <v>49</v>
      </c>
      <c r="C30" s="36"/>
      <c r="D30" s="21"/>
      <c r="E30" s="21"/>
      <c r="F30" s="22">
        <f t="shared" si="4"/>
        <v>0</v>
      </c>
      <c r="G30" s="22"/>
      <c r="H30" s="22">
        <f t="shared" si="1"/>
        <v>0</v>
      </c>
      <c r="I30" s="22"/>
      <c r="J30" s="22"/>
      <c r="K30" s="22"/>
      <c r="L30" s="23">
        <f t="shared" si="5"/>
        <v>0</v>
      </c>
      <c r="M30" s="24"/>
      <c r="N30" s="24"/>
      <c r="O30" s="24"/>
      <c r="P30" s="24"/>
      <c r="Q30" s="24"/>
    </row>
    <row r="31" spans="1:17" s="25" customFormat="1" ht="12">
      <c r="A31" s="28"/>
      <c r="B31" s="37"/>
      <c r="C31" s="37"/>
      <c r="D31" s="38"/>
      <c r="E31" s="38"/>
      <c r="F31" s="22"/>
      <c r="G31" s="22"/>
      <c r="H31" s="63"/>
      <c r="I31" s="22"/>
      <c r="J31" s="22"/>
      <c r="K31" s="22"/>
      <c r="L31" s="23">
        <f t="shared" si="5"/>
        <v>0</v>
      </c>
      <c r="M31" s="24"/>
      <c r="N31" s="24"/>
      <c r="O31" s="24"/>
      <c r="P31" s="24"/>
      <c r="Q31" s="24"/>
    </row>
    <row r="32" spans="1:17" s="42" customFormat="1" ht="12">
      <c r="A32" s="32"/>
      <c r="B32" s="39" t="s">
        <v>50</v>
      </c>
      <c r="C32" s="39"/>
      <c r="D32" s="40">
        <f>D22+D24+D25+D26+D27+D28+D30</f>
        <v>477641.72</v>
      </c>
      <c r="E32" s="40">
        <f>E22+E24+E25+E26+E27+E28+E30</f>
        <v>4918162.21</v>
      </c>
      <c r="F32" s="40">
        <f>F22+F24+F25+F26+F27+F28+F30</f>
        <v>5395803.930000001</v>
      </c>
      <c r="G32" s="40">
        <f>G22+G24+G25+G26+G27+G28+G30</f>
        <v>4529982.41</v>
      </c>
      <c r="H32" s="60">
        <f>H22+H24+H25+H26+H27+H28+H30</f>
        <v>-865821.5200000001</v>
      </c>
      <c r="I32" s="40">
        <f>I22+I24+I25+I26+I27+I28</f>
        <v>2568523.81</v>
      </c>
      <c r="J32" s="40">
        <f>J22+J24+J25+J26+J27+J28</f>
        <v>4791147.636</v>
      </c>
      <c r="K32" s="40">
        <f>K22+K24+K25+K26+K27+K28</f>
        <v>4234195.53</v>
      </c>
      <c r="L32" s="60">
        <f>L22+L24+L25+L26+L27+L28</f>
        <v>-3125475.922</v>
      </c>
      <c r="M32" s="41"/>
      <c r="N32" s="41"/>
      <c r="O32" s="41"/>
      <c r="P32" s="41"/>
      <c r="Q32" s="41"/>
    </row>
    <row r="33" spans="1:17" s="35" customFormat="1" ht="12">
      <c r="A33" s="26"/>
      <c r="B33" s="38"/>
      <c r="C33" s="38"/>
      <c r="D33" s="38"/>
      <c r="E33" s="38"/>
      <c r="F33" s="22"/>
      <c r="G33" s="22"/>
      <c r="H33" s="63"/>
      <c r="I33" s="22"/>
      <c r="J33" s="22"/>
      <c r="K33" s="22"/>
      <c r="L33" s="58">
        <f aca="true" t="shared" si="6" ref="L33:L46">K33-J33</f>
        <v>0</v>
      </c>
      <c r="M33" s="34"/>
      <c r="N33" s="34"/>
      <c r="O33" s="34"/>
      <c r="P33" s="34"/>
      <c r="Q33" s="34"/>
    </row>
    <row r="34" spans="1:12" s="45" customFormat="1" ht="12">
      <c r="A34" s="43"/>
      <c r="B34" s="31" t="s">
        <v>51</v>
      </c>
      <c r="C34" s="31"/>
      <c r="D34" s="44">
        <f aca="true" t="shared" si="7" ref="D34:L34">SUM(D35:D45)</f>
        <v>0</v>
      </c>
      <c r="E34" s="44">
        <f t="shared" si="7"/>
        <v>0</v>
      </c>
      <c r="F34" s="44">
        <f t="shared" si="7"/>
        <v>0</v>
      </c>
      <c r="G34" s="44">
        <f t="shared" si="7"/>
        <v>0</v>
      </c>
      <c r="H34" s="61">
        <f t="shared" si="7"/>
        <v>0</v>
      </c>
      <c r="I34" s="44">
        <f t="shared" si="7"/>
        <v>-4488</v>
      </c>
      <c r="J34" s="44">
        <f t="shared" si="7"/>
        <v>88795.16</v>
      </c>
      <c r="K34" s="44">
        <f t="shared" si="7"/>
        <v>79135.31</v>
      </c>
      <c r="L34" s="61">
        <f t="shared" si="7"/>
        <v>-5171.849999999993</v>
      </c>
    </row>
    <row r="35" spans="1:12" ht="11.25" customHeight="1">
      <c r="A35" s="16"/>
      <c r="B35" s="46"/>
      <c r="C35" s="15"/>
      <c r="D35" s="15"/>
      <c r="E35" s="15"/>
      <c r="F35" s="47"/>
      <c r="G35" s="47"/>
      <c r="H35" s="62"/>
      <c r="I35" s="47"/>
      <c r="J35" s="47"/>
      <c r="K35" s="47"/>
      <c r="L35" s="58">
        <f t="shared" si="6"/>
        <v>0</v>
      </c>
    </row>
    <row r="36" spans="1:12" ht="12" hidden="1">
      <c r="A36" s="16"/>
      <c r="B36" s="46"/>
      <c r="C36" s="46"/>
      <c r="D36" s="46"/>
      <c r="E36" s="46"/>
      <c r="F36" s="47"/>
      <c r="G36" s="47"/>
      <c r="H36" s="62"/>
      <c r="I36" s="47"/>
      <c r="J36" s="47"/>
      <c r="K36" s="47"/>
      <c r="L36" s="58">
        <f t="shared" si="6"/>
        <v>0</v>
      </c>
    </row>
    <row r="37" spans="1:12" ht="12">
      <c r="A37" s="15">
        <v>1</v>
      </c>
      <c r="B37" s="46" t="s">
        <v>52</v>
      </c>
      <c r="C37" s="46" t="s">
        <v>53</v>
      </c>
      <c r="D37" s="46"/>
      <c r="E37" s="46"/>
      <c r="F37" s="47"/>
      <c r="G37" s="47"/>
      <c r="H37" s="62"/>
      <c r="I37" s="47">
        <v>-4488</v>
      </c>
      <c r="J37" s="47">
        <f>33902.7+3446.9</f>
        <v>37349.6</v>
      </c>
      <c r="K37" s="47">
        <f>26422.7+3446.9</f>
        <v>29869.600000000002</v>
      </c>
      <c r="L37" s="58">
        <f>K37-I37-J37</f>
        <v>-2991.9999999999927</v>
      </c>
    </row>
    <row r="38" spans="1:12" ht="12" hidden="1">
      <c r="A38" s="15"/>
      <c r="B38" s="46"/>
      <c r="C38" s="46"/>
      <c r="D38" s="46"/>
      <c r="E38" s="46"/>
      <c r="F38" s="47"/>
      <c r="G38" s="47"/>
      <c r="H38" s="62"/>
      <c r="I38" s="47"/>
      <c r="J38" s="47"/>
      <c r="K38" s="47"/>
      <c r="L38" s="58">
        <f t="shared" si="6"/>
        <v>0</v>
      </c>
    </row>
    <row r="39" spans="1:12" ht="12">
      <c r="A39" s="15">
        <v>2</v>
      </c>
      <c r="B39" s="46" t="s">
        <v>54</v>
      </c>
      <c r="C39" s="46" t="s">
        <v>95</v>
      </c>
      <c r="D39" s="46"/>
      <c r="E39" s="46"/>
      <c r="F39" s="47"/>
      <c r="G39" s="47"/>
      <c r="H39" s="62"/>
      <c r="I39" s="47">
        <v>0</v>
      </c>
      <c r="J39" s="47">
        <v>9250</v>
      </c>
      <c r="K39" s="47">
        <v>9250</v>
      </c>
      <c r="L39" s="58">
        <f t="shared" si="6"/>
        <v>0</v>
      </c>
    </row>
    <row r="40" spans="1:12" ht="11.25" customHeight="1">
      <c r="A40" s="15">
        <v>3</v>
      </c>
      <c r="B40" s="46" t="s">
        <v>56</v>
      </c>
      <c r="C40" s="46" t="s">
        <v>57</v>
      </c>
      <c r="D40" s="46"/>
      <c r="E40" s="46"/>
      <c r="F40" s="47"/>
      <c r="G40" s="47"/>
      <c r="H40" s="62"/>
      <c r="I40" s="47">
        <v>0</v>
      </c>
      <c r="J40" s="47">
        <v>31000</v>
      </c>
      <c r="K40" s="47">
        <v>31000</v>
      </c>
      <c r="L40" s="58">
        <f t="shared" si="6"/>
        <v>0</v>
      </c>
    </row>
    <row r="41" spans="1:12" ht="0.75" customHeight="1" hidden="1">
      <c r="A41" s="15"/>
      <c r="B41" s="46"/>
      <c r="C41" s="46"/>
      <c r="D41" s="46"/>
      <c r="E41" s="46"/>
      <c r="F41" s="47"/>
      <c r="G41" s="47"/>
      <c r="H41" s="62"/>
      <c r="I41" s="47"/>
      <c r="J41" s="47"/>
      <c r="K41" s="47"/>
      <c r="L41" s="58"/>
    </row>
    <row r="42" spans="1:12" ht="12" hidden="1">
      <c r="A42" s="15"/>
      <c r="B42" s="46"/>
      <c r="C42" s="46"/>
      <c r="D42" s="46"/>
      <c r="E42" s="46"/>
      <c r="F42" s="47"/>
      <c r="G42" s="47"/>
      <c r="H42" s="62"/>
      <c r="I42" s="47"/>
      <c r="J42" s="47"/>
      <c r="K42" s="47"/>
      <c r="L42" s="58"/>
    </row>
    <row r="43" spans="1:12" ht="12" hidden="1">
      <c r="A43" s="15"/>
      <c r="B43" s="46"/>
      <c r="C43" s="46"/>
      <c r="D43" s="46"/>
      <c r="E43" s="46"/>
      <c r="F43" s="47"/>
      <c r="G43" s="47"/>
      <c r="H43" s="62"/>
      <c r="I43" s="47"/>
      <c r="J43" s="47"/>
      <c r="K43" s="47"/>
      <c r="L43" s="58"/>
    </row>
    <row r="44" spans="1:12" ht="12" hidden="1">
      <c r="A44" s="15"/>
      <c r="B44" s="46"/>
      <c r="C44" s="46"/>
      <c r="D44" s="46"/>
      <c r="E44" s="46"/>
      <c r="F44" s="47"/>
      <c r="G44" s="47"/>
      <c r="H44" s="62"/>
      <c r="I44" s="47"/>
      <c r="J44" s="47"/>
      <c r="K44" s="47"/>
      <c r="L44" s="58">
        <f t="shared" si="6"/>
        <v>0</v>
      </c>
    </row>
    <row r="45" spans="1:12" ht="12">
      <c r="A45" s="15">
        <v>4</v>
      </c>
      <c r="B45" s="46" t="s">
        <v>58</v>
      </c>
      <c r="C45" s="46"/>
      <c r="D45" s="46"/>
      <c r="E45" s="46"/>
      <c r="F45" s="47"/>
      <c r="G45" s="47"/>
      <c r="H45" s="62"/>
      <c r="I45" s="47">
        <v>0</v>
      </c>
      <c r="J45" s="47">
        <f>2179.85+1693.71+5922+1400</f>
        <v>11195.56</v>
      </c>
      <c r="K45" s="47">
        <v>9015.71</v>
      </c>
      <c r="L45" s="58">
        <f t="shared" si="6"/>
        <v>-2179.8500000000004</v>
      </c>
    </row>
    <row r="46" spans="1:12" ht="12">
      <c r="A46" s="16"/>
      <c r="B46" s="15"/>
      <c r="C46" s="15"/>
      <c r="D46" s="15"/>
      <c r="E46" s="15"/>
      <c r="F46" s="47"/>
      <c r="G46" s="47"/>
      <c r="H46" s="62"/>
      <c r="I46" s="47"/>
      <c r="J46" s="47"/>
      <c r="K46" s="47"/>
      <c r="L46" s="58">
        <f t="shared" si="6"/>
        <v>0</v>
      </c>
    </row>
    <row r="47" spans="1:12" s="45" customFormat="1" ht="12">
      <c r="A47" s="43"/>
      <c r="B47" s="31" t="s">
        <v>59</v>
      </c>
      <c r="C47" s="31"/>
      <c r="D47" s="44">
        <f aca="true" t="shared" si="8" ref="D47:L47">D32+D34</f>
        <v>477641.72</v>
      </c>
      <c r="E47" s="44">
        <f t="shared" si="8"/>
        <v>4918162.21</v>
      </c>
      <c r="F47" s="44">
        <f t="shared" si="8"/>
        <v>5395803.930000001</v>
      </c>
      <c r="G47" s="44">
        <f t="shared" si="8"/>
        <v>4529982.41</v>
      </c>
      <c r="H47" s="61">
        <f t="shared" si="8"/>
        <v>-865821.5200000001</v>
      </c>
      <c r="I47" s="44">
        <f t="shared" si="8"/>
        <v>2564035.81</v>
      </c>
      <c r="J47" s="44">
        <f t="shared" si="8"/>
        <v>4879942.796</v>
      </c>
      <c r="K47" s="44">
        <f>K32+K34</f>
        <v>4313330.84</v>
      </c>
      <c r="L47" s="61">
        <f t="shared" si="8"/>
        <v>-3130647.772</v>
      </c>
    </row>
    <row r="48" spans="1:12" ht="0.75" customHeight="1" hidden="1">
      <c r="A48" s="16"/>
      <c r="B48" s="48"/>
      <c r="C48" s="29"/>
      <c r="D48" s="29"/>
      <c r="E48" s="29"/>
      <c r="F48" s="47"/>
      <c r="G48" s="47"/>
      <c r="H48" s="62"/>
      <c r="I48" s="47"/>
      <c r="J48" s="47"/>
      <c r="K48" s="47"/>
      <c r="L48" s="62"/>
    </row>
    <row r="49" spans="1:12" s="45" customFormat="1" ht="12" hidden="1">
      <c r="A49" s="43"/>
      <c r="B49" s="31" t="s">
        <v>60</v>
      </c>
      <c r="C49" s="49"/>
      <c r="D49" s="40">
        <f>SUM(D50:D51)</f>
        <v>0</v>
      </c>
      <c r="E49" s="40">
        <f>SUM(E50:E51)</f>
        <v>0</v>
      </c>
      <c r="F49" s="40">
        <f>SUM(F50:F51)</f>
        <v>0</v>
      </c>
      <c r="G49" s="40">
        <f>SUM(G50:G51)</f>
        <v>0</v>
      </c>
      <c r="H49" s="60">
        <f>SUM(H50:H51)</f>
        <v>0</v>
      </c>
      <c r="I49" s="40"/>
      <c r="J49" s="40">
        <f>SUM(J50:J51)</f>
        <v>0</v>
      </c>
      <c r="K49" s="40">
        <f>SUM(K50:K51)</f>
        <v>0</v>
      </c>
      <c r="L49" s="60">
        <f>SUM(L50:L51)</f>
        <v>0</v>
      </c>
    </row>
    <row r="50" spans="1:12" ht="12" hidden="1">
      <c r="A50" s="16"/>
      <c r="B50" s="15"/>
      <c r="C50" s="50"/>
      <c r="D50" s="50"/>
      <c r="E50" s="51"/>
      <c r="F50" s="22">
        <f>D50+E50</f>
        <v>0</v>
      </c>
      <c r="G50" s="22"/>
      <c r="H50" s="63">
        <f>G50-F50</f>
        <v>0</v>
      </c>
      <c r="I50" s="22"/>
      <c r="J50" s="22"/>
      <c r="K50" s="22"/>
      <c r="L50" s="58">
        <f>K50-J50</f>
        <v>0</v>
      </c>
    </row>
    <row r="51" spans="1:12" ht="12" hidden="1">
      <c r="A51" s="16"/>
      <c r="B51" s="15"/>
      <c r="C51" s="50"/>
      <c r="D51" s="50"/>
      <c r="E51" s="50"/>
      <c r="F51" s="22"/>
      <c r="G51" s="22"/>
      <c r="H51" s="63">
        <f>G51-F51</f>
        <v>0</v>
      </c>
      <c r="I51" s="22"/>
      <c r="J51" s="22"/>
      <c r="K51" s="22"/>
      <c r="L51" s="58">
        <f>K51-J51</f>
        <v>0</v>
      </c>
    </row>
    <row r="52" spans="1:12" s="45" customFormat="1" ht="12" hidden="1">
      <c r="A52" s="43"/>
      <c r="B52" s="31" t="s">
        <v>61</v>
      </c>
      <c r="C52" s="49"/>
      <c r="D52" s="40">
        <f aca="true" t="shared" si="9" ref="D52:L52">D47+D49</f>
        <v>477641.72</v>
      </c>
      <c r="E52" s="40">
        <f t="shared" si="9"/>
        <v>4918162.21</v>
      </c>
      <c r="F52" s="40">
        <f t="shared" si="9"/>
        <v>5395803.930000001</v>
      </c>
      <c r="G52" s="40">
        <f t="shared" si="9"/>
        <v>4529982.41</v>
      </c>
      <c r="H52" s="60">
        <f t="shared" si="9"/>
        <v>-865821.5200000001</v>
      </c>
      <c r="I52" s="40">
        <f t="shared" si="9"/>
        <v>2564035.81</v>
      </c>
      <c r="J52" s="40">
        <f t="shared" si="9"/>
        <v>4879942.796</v>
      </c>
      <c r="K52" s="40">
        <f>K47+K49</f>
        <v>4313330.84</v>
      </c>
      <c r="L52" s="60">
        <f t="shared" si="9"/>
        <v>-3130647.772</v>
      </c>
    </row>
    <row r="53" spans="1:12" ht="12">
      <c r="A53" s="16"/>
      <c r="B53" s="15"/>
      <c r="C53" s="50"/>
      <c r="D53" s="50"/>
      <c r="E53" s="50"/>
      <c r="F53" s="22"/>
      <c r="G53" s="22"/>
      <c r="H53" s="63"/>
      <c r="I53" s="22"/>
      <c r="J53" s="22"/>
      <c r="K53" s="22"/>
      <c r="L53" s="58"/>
    </row>
    <row r="54" spans="1:12" ht="12">
      <c r="A54" s="16"/>
      <c r="B54" s="15" t="s">
        <v>62</v>
      </c>
      <c r="C54" s="50"/>
      <c r="D54" s="50"/>
      <c r="E54" s="50"/>
      <c r="F54" s="22"/>
      <c r="G54" s="22">
        <v>6357.82</v>
      </c>
      <c r="H54" s="63"/>
      <c r="I54" s="22"/>
      <c r="J54" s="22"/>
      <c r="K54" s="22"/>
      <c r="L54" s="58"/>
    </row>
    <row r="55" spans="1:12" ht="12">
      <c r="A55" s="16"/>
      <c r="B55" s="15" t="s">
        <v>63</v>
      </c>
      <c r="C55" s="50"/>
      <c r="D55" s="50"/>
      <c r="E55" s="50"/>
      <c r="F55" s="22"/>
      <c r="G55" s="22">
        <v>24.55</v>
      </c>
      <c r="H55" s="63"/>
      <c r="I55" s="22"/>
      <c r="J55" s="22"/>
      <c r="K55" s="22"/>
      <c r="L55" s="58"/>
    </row>
    <row r="56" spans="1:12" ht="12">
      <c r="A56" s="16"/>
      <c r="B56" s="48"/>
      <c r="C56" s="29"/>
      <c r="D56" s="29"/>
      <c r="E56" s="29"/>
      <c r="F56" s="47"/>
      <c r="G56" s="47"/>
      <c r="H56" s="62"/>
      <c r="I56" s="47"/>
      <c r="J56" s="47"/>
      <c r="K56" s="47"/>
      <c r="L56" s="62"/>
    </row>
    <row r="57" spans="1:12" s="45" customFormat="1" ht="12">
      <c r="A57" s="43"/>
      <c r="B57" s="52"/>
      <c r="C57" s="53"/>
      <c r="D57" s="44">
        <f aca="true" t="shared" si="10" ref="D57:J57">D52+D54+D55</f>
        <v>477641.72</v>
      </c>
      <c r="E57" s="44">
        <f t="shared" si="10"/>
        <v>4918162.21</v>
      </c>
      <c r="F57" s="44">
        <f t="shared" si="10"/>
        <v>5395803.930000001</v>
      </c>
      <c r="G57" s="44">
        <f>G52+G54+G55</f>
        <v>4536364.78</v>
      </c>
      <c r="H57" s="61">
        <f t="shared" si="10"/>
        <v>-865821.5200000001</v>
      </c>
      <c r="I57" s="44">
        <f t="shared" si="10"/>
        <v>2564035.81</v>
      </c>
      <c r="J57" s="44">
        <f t="shared" si="10"/>
        <v>4879942.796</v>
      </c>
      <c r="K57" s="44">
        <f>K52+K54+K55</f>
        <v>4313330.84</v>
      </c>
      <c r="L57" s="61">
        <f>L52+L54+L55</f>
        <v>-3130647.772</v>
      </c>
    </row>
    <row r="58" spans="9:11" ht="12">
      <c r="I58" s="4" t="s">
        <v>64</v>
      </c>
      <c r="K58" s="4">
        <f>50972.94</f>
        <v>50972.94</v>
      </c>
    </row>
    <row r="59" spans="9:11" ht="12">
      <c r="I59" s="4" t="s">
        <v>65</v>
      </c>
      <c r="K59" s="4">
        <v>172061</v>
      </c>
    </row>
    <row r="60" spans="2:3" ht="12">
      <c r="B60" s="2"/>
      <c r="C60" s="5"/>
    </row>
    <row r="61" spans="2:11" ht="12">
      <c r="B61" s="2" t="s">
        <v>66</v>
      </c>
      <c r="C61" s="5" t="s">
        <v>67</v>
      </c>
      <c r="D61" s="3" t="s">
        <v>68</v>
      </c>
      <c r="K61" s="4">
        <f>G57-K57-K58-K59</f>
        <v>4.0745362639427185E-10</v>
      </c>
    </row>
    <row r="62" spans="1:4" ht="12">
      <c r="A62" s="54"/>
      <c r="B62" s="2" t="s">
        <v>69</v>
      </c>
      <c r="C62" s="5" t="s">
        <v>67</v>
      </c>
      <c r="D62" s="3" t="s">
        <v>70</v>
      </c>
    </row>
  </sheetData>
  <mergeCells count="5">
    <mergeCell ref="I3:L3"/>
    <mergeCell ref="A3:A4"/>
    <mergeCell ref="B3:B4"/>
    <mergeCell ref="C3:C4"/>
    <mergeCell ref="D3:H3"/>
  </mergeCells>
  <printOptions/>
  <pageMargins left="0.17" right="0.16" top="0.83" bottom="0.18" header="0.5" footer="0.5"/>
  <pageSetup horizontalDpi="600" verticalDpi="600" orientation="landscape" paperSize="9" scale="7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workbookViewId="0" topLeftCell="A1">
      <pane xSplit="3" ySplit="5" topLeftCell="G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41" sqref="K41"/>
    </sheetView>
  </sheetViews>
  <sheetFormatPr defaultColWidth="9.00390625" defaultRowHeight="12.75"/>
  <cols>
    <col min="1" max="1" width="4.75390625" style="1" customWidth="1"/>
    <col min="2" max="2" width="41.625" style="6" customWidth="1"/>
    <col min="3" max="3" width="27.00390625" style="3" customWidth="1"/>
    <col min="4" max="4" width="14.75390625" style="3" customWidth="1"/>
    <col min="5" max="5" width="14.375" style="3" customWidth="1"/>
    <col min="6" max="6" width="15.25390625" style="4" customWidth="1"/>
    <col min="7" max="11" width="14.875" style="4" customWidth="1"/>
    <col min="12" max="12" width="15.625" style="4" customWidth="1"/>
    <col min="13" max="16384" width="9.125" style="1" customWidth="1"/>
  </cols>
  <sheetData>
    <row r="1" ht="24">
      <c r="B1" s="2" t="s">
        <v>104</v>
      </c>
    </row>
    <row r="2" spans="2:5" ht="12">
      <c r="B2" s="2"/>
      <c r="C2" s="5"/>
      <c r="D2" s="5"/>
      <c r="E2" s="5"/>
    </row>
    <row r="4" spans="1:12" s="7" customFormat="1" ht="12.75" customHeight="1">
      <c r="A4" s="78" t="s">
        <v>0</v>
      </c>
      <c r="B4" s="80" t="s">
        <v>1</v>
      </c>
      <c r="C4" s="82" t="s">
        <v>2</v>
      </c>
      <c r="D4" s="75" t="s">
        <v>3</v>
      </c>
      <c r="E4" s="76"/>
      <c r="F4" s="76"/>
      <c r="G4" s="76"/>
      <c r="H4" s="77"/>
      <c r="I4" s="75" t="s">
        <v>4</v>
      </c>
      <c r="J4" s="76"/>
      <c r="K4" s="76"/>
      <c r="L4" s="77"/>
    </row>
    <row r="5" spans="1:12" s="7" customFormat="1" ht="51" customHeight="1">
      <c r="A5" s="79"/>
      <c r="B5" s="81"/>
      <c r="C5" s="83"/>
      <c r="D5" s="11" t="s">
        <v>5</v>
      </c>
      <c r="E5" s="11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</row>
    <row r="6" spans="1:12" s="7" customFormat="1" ht="15" customHeight="1">
      <c r="A6" s="8"/>
      <c r="B6" s="9" t="s">
        <v>14</v>
      </c>
      <c r="C6" s="10">
        <v>7647.3</v>
      </c>
      <c r="D6" s="11"/>
      <c r="E6" s="11"/>
      <c r="F6" s="12"/>
      <c r="G6" s="12"/>
      <c r="H6" s="12"/>
      <c r="I6" s="9"/>
      <c r="J6" s="9"/>
      <c r="K6" s="9"/>
      <c r="L6" s="9"/>
    </row>
    <row r="7" spans="1:12" s="7" customFormat="1" ht="12">
      <c r="A7" s="13"/>
      <c r="B7" s="12" t="s">
        <v>15</v>
      </c>
      <c r="C7" s="11">
        <v>292</v>
      </c>
      <c r="D7" s="11"/>
      <c r="E7" s="11"/>
      <c r="F7" s="14"/>
      <c r="G7" s="14"/>
      <c r="H7" s="14"/>
      <c r="I7" s="14"/>
      <c r="J7" s="14"/>
      <c r="K7" s="14"/>
      <c r="L7" s="14"/>
    </row>
    <row r="8" spans="1:12" s="7" customFormat="1" ht="12">
      <c r="A8" s="15">
        <v>1</v>
      </c>
      <c r="B8" s="15" t="s">
        <v>16</v>
      </c>
      <c r="C8" s="11"/>
      <c r="D8" s="11"/>
      <c r="E8" s="11"/>
      <c r="F8" s="14"/>
      <c r="G8" s="14"/>
      <c r="H8" s="14"/>
      <c r="I8" s="14"/>
      <c r="J8" s="14"/>
      <c r="K8" s="14"/>
      <c r="L8" s="14"/>
    </row>
    <row r="9" spans="1:12" s="7" customFormat="1" ht="12">
      <c r="A9" s="16"/>
      <c r="B9" s="16"/>
      <c r="C9" s="11"/>
      <c r="D9" s="11"/>
      <c r="E9" s="11"/>
      <c r="F9" s="14"/>
      <c r="G9" s="14"/>
      <c r="H9" s="14"/>
      <c r="I9" s="14"/>
      <c r="J9" s="14"/>
      <c r="K9" s="14"/>
      <c r="L9" s="14"/>
    </row>
    <row r="10" spans="1:17" s="25" customFormat="1" ht="12">
      <c r="A10" s="18" t="s">
        <v>17</v>
      </c>
      <c r="B10" s="19" t="s">
        <v>18</v>
      </c>
      <c r="C10" s="20" t="s">
        <v>19</v>
      </c>
      <c r="D10" s="21">
        <f>113820.45+27849.53</f>
        <v>141669.97999999998</v>
      </c>
      <c r="E10" s="21">
        <f>2253474.84+721088.98</f>
        <v>2974563.82</v>
      </c>
      <c r="F10" s="22">
        <f>D10+E10</f>
        <v>3116233.8</v>
      </c>
      <c r="G10" s="22">
        <v>2771281.19</v>
      </c>
      <c r="H10" s="63">
        <f>G10-F10</f>
        <v>-344952.60999999987</v>
      </c>
      <c r="I10" s="22">
        <v>0</v>
      </c>
      <c r="J10" s="22">
        <v>2477010.65</v>
      </c>
      <c r="K10" s="22">
        <v>2324352.72</v>
      </c>
      <c r="L10" s="58">
        <f>K10-I10-J10</f>
        <v>-152657.9299999997</v>
      </c>
      <c r="M10" s="24"/>
      <c r="N10" s="24"/>
      <c r="O10" s="24"/>
      <c r="P10" s="24"/>
      <c r="Q10" s="24"/>
    </row>
    <row r="11" spans="1:17" s="25" customFormat="1" ht="12">
      <c r="A11" s="26" t="s">
        <v>20</v>
      </c>
      <c r="B11" s="27" t="s">
        <v>21</v>
      </c>
      <c r="C11" s="20" t="s">
        <v>22</v>
      </c>
      <c r="D11" s="21">
        <f>1527.49+6245</f>
        <v>7772.49</v>
      </c>
      <c r="E11" s="21">
        <f>37778.56+117363.37</f>
        <v>155141.93</v>
      </c>
      <c r="F11" s="22">
        <f aca="true" t="shared" si="0" ref="F11:F20">D11+E11</f>
        <v>162914.41999999998</v>
      </c>
      <c r="G11" s="22">
        <v>144979.2</v>
      </c>
      <c r="H11" s="63">
        <f aca="true" t="shared" si="1" ref="H11:H25">G11-F11</f>
        <v>-17935.219999999972</v>
      </c>
      <c r="I11" s="22">
        <f>91354.06*10.47%</f>
        <v>9564.770082</v>
      </c>
      <c r="J11" s="22">
        <f>7647.3*1.7*12</f>
        <v>156004.91999999998</v>
      </c>
      <c r="K11" s="22">
        <f>I11+J11</f>
        <v>165569.690082</v>
      </c>
      <c r="L11" s="66">
        <f aca="true" t="shared" si="2" ref="L11:L33">K11-I11-J11</f>
        <v>0</v>
      </c>
      <c r="M11" s="24"/>
      <c r="N11" s="24"/>
      <c r="O11" s="24"/>
      <c r="P11" s="24"/>
      <c r="Q11" s="24"/>
    </row>
    <row r="12" spans="1:17" s="25" customFormat="1" ht="12">
      <c r="A12" s="26" t="s">
        <v>23</v>
      </c>
      <c r="B12" s="27" t="s">
        <v>24</v>
      </c>
      <c r="C12" s="20" t="s">
        <v>22</v>
      </c>
      <c r="D12" s="21">
        <f>7453.77+1823.16</f>
        <v>9276.93</v>
      </c>
      <c r="E12" s="21">
        <f>137843.44+44339.82</f>
        <v>182183.26</v>
      </c>
      <c r="F12" s="22">
        <f t="shared" si="0"/>
        <v>191460.19</v>
      </c>
      <c r="G12" s="22">
        <v>170377.37</v>
      </c>
      <c r="H12" s="63">
        <f t="shared" si="1"/>
        <v>-21082.820000000007</v>
      </c>
      <c r="I12" s="22">
        <f>91354.06*12.33%</f>
        <v>11263.955598</v>
      </c>
      <c r="J12" s="22">
        <f>7647.3*2*12</f>
        <v>183535.2</v>
      </c>
      <c r="K12" s="22">
        <f>I12+J12</f>
        <v>194799.155598</v>
      </c>
      <c r="L12" s="58">
        <f t="shared" si="2"/>
        <v>0</v>
      </c>
      <c r="M12" s="24"/>
      <c r="N12" s="24"/>
      <c r="O12" s="24"/>
      <c r="P12" s="24"/>
      <c r="Q12" s="24"/>
    </row>
    <row r="13" spans="1:17" s="25" customFormat="1" ht="12">
      <c r="A13" s="28" t="s">
        <v>25</v>
      </c>
      <c r="B13" s="19" t="s">
        <v>26</v>
      </c>
      <c r="C13" s="29" t="s">
        <v>22</v>
      </c>
      <c r="D13" s="21">
        <f>7198.64</f>
        <v>7198.64</v>
      </c>
      <c r="E13" s="21">
        <f>11505.45+44583.03+15061.43+105001.84</f>
        <v>176151.75</v>
      </c>
      <c r="F13" s="22">
        <f t="shared" si="0"/>
        <v>183350.39</v>
      </c>
      <c r="G13" s="22">
        <v>163193.89</v>
      </c>
      <c r="H13" s="63">
        <f t="shared" si="1"/>
        <v>-20156.5</v>
      </c>
      <c r="I13" s="22">
        <f>2386.63+6000</f>
        <v>8386.630000000001</v>
      </c>
      <c r="J13" s="22">
        <f>86178+72320</f>
        <v>158498</v>
      </c>
      <c r="K13" s="22">
        <f>92178+27592.9</f>
        <v>119770.9</v>
      </c>
      <c r="L13" s="58">
        <f t="shared" si="2"/>
        <v>-47113.73000000001</v>
      </c>
      <c r="M13" s="24"/>
      <c r="N13" s="24"/>
      <c r="O13" s="24"/>
      <c r="P13" s="24"/>
      <c r="Q13" s="24"/>
    </row>
    <row r="14" spans="1:17" s="25" customFormat="1" ht="12">
      <c r="A14" s="26" t="s">
        <v>28</v>
      </c>
      <c r="B14" s="30" t="s">
        <v>29</v>
      </c>
      <c r="C14" s="20" t="s">
        <v>22</v>
      </c>
      <c r="D14" s="21">
        <f>1419.08+5801.86</f>
        <v>7220.94</v>
      </c>
      <c r="E14" s="21">
        <f>100772.42+32411.08</f>
        <v>133183.5</v>
      </c>
      <c r="F14" s="22">
        <f t="shared" si="0"/>
        <v>140404.44</v>
      </c>
      <c r="G14" s="22">
        <v>124968.49</v>
      </c>
      <c r="H14" s="63">
        <f t="shared" si="1"/>
        <v>-15435.949999999997</v>
      </c>
      <c r="I14" s="22">
        <f>91354.06*9%</f>
        <v>8221.865399999999</v>
      </c>
      <c r="J14" s="22">
        <f>7647.3*1.46*12</f>
        <v>133980.696</v>
      </c>
      <c r="K14" s="22">
        <f>I14+J14</f>
        <v>142202.5614</v>
      </c>
      <c r="L14" s="58">
        <f t="shared" si="2"/>
        <v>0</v>
      </c>
      <c r="M14" s="24"/>
      <c r="N14" s="24"/>
      <c r="O14" s="24"/>
      <c r="P14" s="24"/>
      <c r="Q14" s="24"/>
    </row>
    <row r="15" spans="1:17" s="25" customFormat="1" ht="12">
      <c r="A15" s="26" t="s">
        <v>30</v>
      </c>
      <c r="B15" s="30" t="s">
        <v>31</v>
      </c>
      <c r="C15" s="20" t="s">
        <v>22</v>
      </c>
      <c r="D15" s="21">
        <f>9352.1+38235.66</f>
        <v>47587.76</v>
      </c>
      <c r="E15" s="21">
        <f>246195.5+764363.18</f>
        <v>1010558.68</v>
      </c>
      <c r="F15" s="22">
        <f t="shared" si="0"/>
        <v>1058146.44</v>
      </c>
      <c r="G15" s="22">
        <v>941538.11</v>
      </c>
      <c r="H15" s="63">
        <f t="shared" si="1"/>
        <v>-116608.32999999996</v>
      </c>
      <c r="I15" s="22">
        <f>91354.06*68.2%</f>
        <v>62303.46892000001</v>
      </c>
      <c r="J15" s="22">
        <f>7647.3*11.07*12</f>
        <v>1015867.332</v>
      </c>
      <c r="K15" s="22">
        <f>973916.09-6134.33+167.18-100489.41-155781.74-100489.41</f>
        <v>611188.38</v>
      </c>
      <c r="L15" s="58">
        <f t="shared" si="2"/>
        <v>-466982.42092000006</v>
      </c>
      <c r="M15" s="24"/>
      <c r="N15" s="24"/>
      <c r="O15" s="24"/>
      <c r="P15" s="24"/>
      <c r="Q15" s="24"/>
    </row>
    <row r="16" spans="1:17" s="25" customFormat="1" ht="12">
      <c r="A16" s="28" t="s">
        <v>32</v>
      </c>
      <c r="B16" s="19" t="s">
        <v>33</v>
      </c>
      <c r="C16" s="20" t="s">
        <v>34</v>
      </c>
      <c r="D16" s="21">
        <v>1857.84</v>
      </c>
      <c r="E16" s="21">
        <v>35800.84</v>
      </c>
      <c r="F16" s="22">
        <f t="shared" si="0"/>
        <v>37658.67999999999</v>
      </c>
      <c r="G16" s="22">
        <v>32947.23</v>
      </c>
      <c r="H16" s="63">
        <f t="shared" si="1"/>
        <v>-4711.44999999999</v>
      </c>
      <c r="I16" s="22">
        <v>30811.26</v>
      </c>
      <c r="J16" s="22">
        <v>35280</v>
      </c>
      <c r="K16" s="22">
        <v>5768.07</v>
      </c>
      <c r="L16" s="58">
        <f t="shared" si="2"/>
        <v>-60323.19</v>
      </c>
      <c r="M16" s="24"/>
      <c r="N16" s="24"/>
      <c r="O16" s="24"/>
      <c r="P16" s="24"/>
      <c r="Q16" s="24"/>
    </row>
    <row r="17" spans="1:17" s="25" customFormat="1" ht="12">
      <c r="A17" s="28" t="s">
        <v>35</v>
      </c>
      <c r="B17" s="19" t="s">
        <v>36</v>
      </c>
      <c r="C17" s="20" t="s">
        <v>94</v>
      </c>
      <c r="D17" s="21">
        <v>4019.74</v>
      </c>
      <c r="E17" s="21">
        <v>68325.57</v>
      </c>
      <c r="F17" s="22">
        <f t="shared" si="0"/>
        <v>72345.31000000001</v>
      </c>
      <c r="G17" s="22">
        <v>63270.52</v>
      </c>
      <c r="H17" s="63">
        <f t="shared" si="1"/>
        <v>-9074.790000000015</v>
      </c>
      <c r="I17" s="22">
        <v>6527.68</v>
      </c>
      <c r="J17" s="22">
        <v>68016</v>
      </c>
      <c r="K17" s="22">
        <v>60014.73</v>
      </c>
      <c r="L17" s="58">
        <f t="shared" si="2"/>
        <v>-14528.949999999997</v>
      </c>
      <c r="M17" s="24"/>
      <c r="N17" s="24"/>
      <c r="O17" s="24"/>
      <c r="P17" s="24"/>
      <c r="Q17" s="24"/>
    </row>
    <row r="18" spans="1:17" s="25" customFormat="1" ht="12">
      <c r="A18" s="28" t="s">
        <v>37</v>
      </c>
      <c r="B18" s="19" t="s">
        <v>38</v>
      </c>
      <c r="C18" s="29" t="s">
        <v>34</v>
      </c>
      <c r="D18" s="21">
        <v>10360.02</v>
      </c>
      <c r="E18" s="21">
        <v>210657.64</v>
      </c>
      <c r="F18" s="22">
        <f t="shared" si="0"/>
        <v>221017.66</v>
      </c>
      <c r="G18" s="22">
        <v>193796.72</v>
      </c>
      <c r="H18" s="63">
        <f t="shared" si="1"/>
        <v>-27220.940000000002</v>
      </c>
      <c r="I18" s="22">
        <v>-11304.89</v>
      </c>
      <c r="J18" s="22">
        <v>219478.88</v>
      </c>
      <c r="K18" s="22">
        <f>220962.11+385.92</f>
        <v>221348.03</v>
      </c>
      <c r="L18" s="23">
        <f>K18-I18-J18</f>
        <v>13174.039999999979</v>
      </c>
      <c r="M18" s="24"/>
      <c r="N18" s="24"/>
      <c r="O18" s="24"/>
      <c r="P18" s="24"/>
      <c r="Q18" s="24"/>
    </row>
    <row r="19" spans="1:17" s="25" customFormat="1" ht="11.25" customHeight="1">
      <c r="A19" s="28" t="s">
        <v>39</v>
      </c>
      <c r="B19" s="19" t="s">
        <v>40</v>
      </c>
      <c r="C19" s="20" t="s">
        <v>19</v>
      </c>
      <c r="D19" s="21">
        <v>5087.51</v>
      </c>
      <c r="E19" s="21">
        <v>128442.3</v>
      </c>
      <c r="F19" s="22">
        <f t="shared" si="0"/>
        <v>133529.81</v>
      </c>
      <c r="G19" s="22">
        <v>116965.1</v>
      </c>
      <c r="H19" s="63">
        <f t="shared" si="1"/>
        <v>-16564.709999999992</v>
      </c>
      <c r="I19" s="22">
        <v>0</v>
      </c>
      <c r="J19" s="22">
        <v>206999.84</v>
      </c>
      <c r="K19" s="22">
        <v>162811.44</v>
      </c>
      <c r="L19" s="58">
        <f t="shared" si="2"/>
        <v>-44188.399999999994</v>
      </c>
      <c r="M19" s="24"/>
      <c r="N19" s="24"/>
      <c r="O19" s="24"/>
      <c r="P19" s="24"/>
      <c r="Q19" s="24"/>
    </row>
    <row r="20" spans="1:17" s="25" customFormat="1" ht="12">
      <c r="A20" s="55">
        <v>1.11</v>
      </c>
      <c r="B20" s="19" t="s">
        <v>71</v>
      </c>
      <c r="C20" s="20" t="s">
        <v>47</v>
      </c>
      <c r="D20" s="21">
        <f>1153.05+4714.03</f>
        <v>5867.08</v>
      </c>
      <c r="E20" s="21">
        <f>81120.76+25967.78</f>
        <v>107088.54</v>
      </c>
      <c r="F20" s="22">
        <f t="shared" si="0"/>
        <v>112955.62</v>
      </c>
      <c r="G20" s="22">
        <v>100489.41</v>
      </c>
      <c r="H20" s="63">
        <f t="shared" si="1"/>
        <v>-12466.209999999992</v>
      </c>
      <c r="I20" s="22">
        <v>5867.08</v>
      </c>
      <c r="J20" s="22">
        <v>107088.54</v>
      </c>
      <c r="K20" s="22">
        <v>100489.41</v>
      </c>
      <c r="L20" s="58">
        <f t="shared" si="2"/>
        <v>-12466.209999999992</v>
      </c>
      <c r="M20" s="24"/>
      <c r="N20" s="24"/>
      <c r="O20" s="24"/>
      <c r="P20" s="24"/>
      <c r="Q20" s="24"/>
    </row>
    <row r="21" spans="1:17" s="35" customFormat="1" ht="12">
      <c r="A21" s="31"/>
      <c r="B21" s="31" t="s">
        <v>43</v>
      </c>
      <c r="C21" s="32"/>
      <c r="D21" s="33">
        <f>SUM(D10:D19)</f>
        <v>242051.84999999998</v>
      </c>
      <c r="E21" s="33">
        <f aca="true" t="shared" si="3" ref="E21:L21">SUM(E10:E20)</f>
        <v>5182097.829999999</v>
      </c>
      <c r="F21" s="33">
        <f t="shared" si="3"/>
        <v>5430016.759999999</v>
      </c>
      <c r="G21" s="33">
        <f t="shared" si="3"/>
        <v>4823807.23</v>
      </c>
      <c r="H21" s="59">
        <f t="shared" si="3"/>
        <v>-606209.5299999998</v>
      </c>
      <c r="I21" s="33">
        <f t="shared" si="3"/>
        <v>131641.82</v>
      </c>
      <c r="J21" s="33">
        <f t="shared" si="3"/>
        <v>4761760.058</v>
      </c>
      <c r="K21" s="33">
        <f t="shared" si="3"/>
        <v>4108315.08708</v>
      </c>
      <c r="L21" s="59">
        <f t="shared" si="3"/>
        <v>-785086.7909199997</v>
      </c>
      <c r="M21" s="34"/>
      <c r="N21" s="34"/>
      <c r="O21" s="34"/>
      <c r="P21" s="34"/>
      <c r="Q21" s="34"/>
    </row>
    <row r="22" spans="1:17" s="35" customFormat="1" ht="12">
      <c r="A22" s="16"/>
      <c r="B22" s="16"/>
      <c r="C22" s="20"/>
      <c r="D22" s="21"/>
      <c r="E22" s="21"/>
      <c r="F22" s="21"/>
      <c r="G22" s="21"/>
      <c r="H22" s="64"/>
      <c r="I22" s="21"/>
      <c r="J22" s="21"/>
      <c r="K22" s="21"/>
      <c r="L22" s="58">
        <f t="shared" si="2"/>
        <v>0</v>
      </c>
      <c r="M22" s="34"/>
      <c r="N22" s="34"/>
      <c r="O22" s="34"/>
      <c r="P22" s="34"/>
      <c r="Q22" s="34"/>
    </row>
    <row r="23" spans="1:17" s="25" customFormat="1" ht="12">
      <c r="A23" s="15">
        <v>2</v>
      </c>
      <c r="B23" s="15" t="s">
        <v>44</v>
      </c>
      <c r="C23" s="36" t="s">
        <v>45</v>
      </c>
      <c r="D23" s="21">
        <v>27938.44</v>
      </c>
      <c r="E23" s="21">
        <v>545748.26</v>
      </c>
      <c r="F23" s="22">
        <f>D23+E23</f>
        <v>573686.7</v>
      </c>
      <c r="G23" s="22">
        <v>501183.13</v>
      </c>
      <c r="H23" s="63">
        <f t="shared" si="1"/>
        <v>-72503.56999999995</v>
      </c>
      <c r="I23" s="22">
        <v>69868.2</v>
      </c>
      <c r="J23" s="22">
        <v>750710.06</v>
      </c>
      <c r="K23" s="22">
        <v>556105.89</v>
      </c>
      <c r="L23" s="58">
        <f t="shared" si="2"/>
        <v>-264472.37000000005</v>
      </c>
      <c r="M23" s="24"/>
      <c r="N23" s="24"/>
      <c r="O23" s="24"/>
      <c r="P23" s="24"/>
      <c r="Q23" s="24"/>
    </row>
    <row r="24" spans="1:17" s="25" customFormat="1" ht="12">
      <c r="A24" s="15">
        <v>3</v>
      </c>
      <c r="B24" s="15" t="s">
        <v>46</v>
      </c>
      <c r="C24" s="36" t="s">
        <v>47</v>
      </c>
      <c r="D24" s="21">
        <v>35840.59</v>
      </c>
      <c r="E24" s="21">
        <v>686684.54</v>
      </c>
      <c r="F24" s="22">
        <f>D24+E24</f>
        <v>722525.13</v>
      </c>
      <c r="G24" s="22">
        <v>632025.02</v>
      </c>
      <c r="H24" s="63">
        <f t="shared" si="1"/>
        <v>-90500.10999999999</v>
      </c>
      <c r="I24" s="22">
        <v>143518.1</v>
      </c>
      <c r="J24" s="22">
        <v>820509.38</v>
      </c>
      <c r="K24" s="22">
        <v>717588.64</v>
      </c>
      <c r="L24" s="58">
        <f t="shared" si="2"/>
        <v>-246438.83999999997</v>
      </c>
      <c r="M24" s="24"/>
      <c r="N24" s="24"/>
      <c r="O24" s="24"/>
      <c r="P24" s="24"/>
      <c r="Q24" s="24"/>
    </row>
    <row r="25" spans="1:17" s="25" customFormat="1" ht="12">
      <c r="A25" s="15">
        <v>4</v>
      </c>
      <c r="B25" s="15" t="s">
        <v>48</v>
      </c>
      <c r="C25" s="36" t="s">
        <v>45</v>
      </c>
      <c r="D25" s="21">
        <v>28190.62</v>
      </c>
      <c r="E25" s="21">
        <v>541229.57</v>
      </c>
      <c r="F25" s="22">
        <f>D25+E25</f>
        <v>569420.19</v>
      </c>
      <c r="G25" s="22">
        <v>497533.4</v>
      </c>
      <c r="H25" s="63">
        <f t="shared" si="1"/>
        <v>-71886.78999999992</v>
      </c>
      <c r="I25" s="22">
        <v>63062.17</v>
      </c>
      <c r="J25" s="22">
        <v>677488.21</v>
      </c>
      <c r="K25" s="22">
        <v>501828.95</v>
      </c>
      <c r="L25" s="58">
        <f t="shared" si="2"/>
        <v>-238721.42999999993</v>
      </c>
      <c r="M25" s="24"/>
      <c r="N25" s="24"/>
      <c r="O25" s="24"/>
      <c r="P25" s="24"/>
      <c r="Q25" s="24"/>
    </row>
    <row r="26" spans="1:17" s="25" customFormat="1" ht="12">
      <c r="A26" s="28"/>
      <c r="B26" s="37"/>
      <c r="C26" s="37"/>
      <c r="D26" s="38"/>
      <c r="E26" s="38"/>
      <c r="F26" s="22"/>
      <c r="G26" s="22"/>
      <c r="H26" s="63"/>
      <c r="I26" s="22"/>
      <c r="J26" s="22"/>
      <c r="K26" s="22"/>
      <c r="L26" s="58">
        <f t="shared" si="2"/>
        <v>0</v>
      </c>
      <c r="M26" s="24"/>
      <c r="N26" s="24"/>
      <c r="O26" s="24"/>
      <c r="P26" s="24"/>
      <c r="Q26" s="24"/>
    </row>
    <row r="27" spans="1:17" s="42" customFormat="1" ht="12">
      <c r="A27" s="32"/>
      <c r="B27" s="39" t="s">
        <v>50</v>
      </c>
      <c r="C27" s="39"/>
      <c r="D27" s="40">
        <f>D21+D23+D24+D25</f>
        <v>334021.5</v>
      </c>
      <c r="E27" s="40">
        <f aca="true" t="shared" si="4" ref="E27:L27">E21+E23+E24+E25</f>
        <v>6955760.199999999</v>
      </c>
      <c r="F27" s="40">
        <f t="shared" si="4"/>
        <v>7295648.779999999</v>
      </c>
      <c r="G27" s="40">
        <f t="shared" si="4"/>
        <v>6454548.780000001</v>
      </c>
      <c r="H27" s="60">
        <f t="shared" si="4"/>
        <v>-841099.9999999997</v>
      </c>
      <c r="I27" s="40">
        <f t="shared" si="4"/>
        <v>408090.29</v>
      </c>
      <c r="J27" s="40">
        <f t="shared" si="4"/>
        <v>7010467.708000001</v>
      </c>
      <c r="K27" s="40">
        <f t="shared" si="4"/>
        <v>5883838.5670799995</v>
      </c>
      <c r="L27" s="60">
        <f t="shared" si="4"/>
        <v>-1534719.4309199995</v>
      </c>
      <c r="M27" s="41"/>
      <c r="N27" s="41"/>
      <c r="O27" s="41"/>
      <c r="P27" s="41"/>
      <c r="Q27" s="41"/>
    </row>
    <row r="28" spans="1:17" s="35" customFormat="1" ht="12">
      <c r="A28" s="26"/>
      <c r="B28" s="38"/>
      <c r="C28" s="38"/>
      <c r="D28" s="38"/>
      <c r="E28" s="38"/>
      <c r="F28" s="22"/>
      <c r="G28" s="22"/>
      <c r="H28" s="63"/>
      <c r="I28" s="22"/>
      <c r="J28" s="22"/>
      <c r="K28" s="22"/>
      <c r="L28" s="58">
        <f t="shared" si="2"/>
        <v>0</v>
      </c>
      <c r="M28" s="34"/>
      <c r="N28" s="34"/>
      <c r="O28" s="34"/>
      <c r="P28" s="34"/>
      <c r="Q28" s="34"/>
    </row>
    <row r="29" spans="1:12" s="45" customFormat="1" ht="12">
      <c r="A29" s="43"/>
      <c r="B29" s="31" t="s">
        <v>51</v>
      </c>
      <c r="C29" s="31"/>
      <c r="D29" s="44">
        <f aca="true" t="shared" si="5" ref="D29:L29">SUM(D30:D34)</f>
        <v>0</v>
      </c>
      <c r="E29" s="44">
        <f t="shared" si="5"/>
        <v>0</v>
      </c>
      <c r="F29" s="44">
        <f t="shared" si="5"/>
        <v>0</v>
      </c>
      <c r="G29" s="44">
        <f t="shared" si="5"/>
        <v>0</v>
      </c>
      <c r="H29" s="61">
        <f t="shared" si="5"/>
        <v>0</v>
      </c>
      <c r="I29" s="44">
        <f t="shared" si="5"/>
        <v>16196.2</v>
      </c>
      <c r="J29" s="44">
        <f t="shared" si="5"/>
        <v>127360.9</v>
      </c>
      <c r="K29" s="44">
        <f t="shared" si="5"/>
        <v>137573.1</v>
      </c>
      <c r="L29" s="61">
        <f t="shared" si="5"/>
        <v>-5984.000000000004</v>
      </c>
    </row>
    <row r="30" spans="1:12" ht="12">
      <c r="A30" s="16"/>
      <c r="B30" s="46"/>
      <c r="C30" s="15"/>
      <c r="D30" s="15"/>
      <c r="E30" s="15"/>
      <c r="F30" s="47"/>
      <c r="G30" s="47"/>
      <c r="H30" s="62"/>
      <c r="I30" s="47"/>
      <c r="J30" s="47"/>
      <c r="K30" s="47"/>
      <c r="L30" s="58">
        <f t="shared" si="2"/>
        <v>0</v>
      </c>
    </row>
    <row r="31" spans="1:12" ht="11.25" customHeight="1">
      <c r="A31" s="15">
        <v>1</v>
      </c>
      <c r="B31" s="46" t="s">
        <v>72</v>
      </c>
      <c r="C31" s="46" t="s">
        <v>53</v>
      </c>
      <c r="D31" s="46"/>
      <c r="E31" s="46"/>
      <c r="F31" s="47"/>
      <c r="G31" s="47"/>
      <c r="H31" s="62"/>
      <c r="I31" s="47">
        <v>16196.2</v>
      </c>
      <c r="J31" s="47">
        <v>35110.9</v>
      </c>
      <c r="K31" s="47">
        <v>45323.1</v>
      </c>
      <c r="L31" s="58">
        <f t="shared" si="2"/>
        <v>-5984.000000000004</v>
      </c>
    </row>
    <row r="32" spans="1:12" ht="24">
      <c r="A32" s="15">
        <v>2</v>
      </c>
      <c r="B32" s="46" t="s">
        <v>54</v>
      </c>
      <c r="C32" s="46" t="s">
        <v>106</v>
      </c>
      <c r="D32" s="46"/>
      <c r="E32" s="46"/>
      <c r="F32" s="47"/>
      <c r="G32" s="47"/>
      <c r="H32" s="62"/>
      <c r="I32" s="47">
        <v>0</v>
      </c>
      <c r="J32" s="47">
        <v>56250</v>
      </c>
      <c r="K32" s="47">
        <v>56250</v>
      </c>
      <c r="L32" s="58">
        <f t="shared" si="2"/>
        <v>0</v>
      </c>
    </row>
    <row r="33" spans="1:12" ht="12">
      <c r="A33" s="15">
        <v>3</v>
      </c>
      <c r="B33" s="46" t="s">
        <v>56</v>
      </c>
      <c r="C33" s="46" t="s">
        <v>105</v>
      </c>
      <c r="D33" s="46"/>
      <c r="E33" s="46"/>
      <c r="F33" s="47"/>
      <c r="G33" s="47"/>
      <c r="H33" s="62"/>
      <c r="I33" s="47"/>
      <c r="J33" s="47">
        <v>36000</v>
      </c>
      <c r="K33" s="47">
        <v>36000</v>
      </c>
      <c r="L33" s="58">
        <f t="shared" si="2"/>
        <v>0</v>
      </c>
    </row>
    <row r="34" spans="1:12" ht="12">
      <c r="A34" s="16"/>
      <c r="B34" s="46"/>
      <c r="C34" s="46"/>
      <c r="D34" s="46"/>
      <c r="E34" s="46"/>
      <c r="F34" s="47"/>
      <c r="G34" s="47"/>
      <c r="H34" s="62"/>
      <c r="I34" s="47"/>
      <c r="J34" s="47"/>
      <c r="K34" s="47"/>
      <c r="L34" s="58"/>
    </row>
    <row r="35" spans="1:12" s="45" customFormat="1" ht="12">
      <c r="A35" s="43"/>
      <c r="B35" s="31" t="s">
        <v>59</v>
      </c>
      <c r="C35" s="31"/>
      <c r="D35" s="44">
        <f aca="true" t="shared" si="6" ref="D35:J35">D27+D29</f>
        <v>334021.5</v>
      </c>
      <c r="E35" s="44">
        <f t="shared" si="6"/>
        <v>6955760.199999999</v>
      </c>
      <c r="F35" s="44">
        <f t="shared" si="6"/>
        <v>7295648.779999999</v>
      </c>
      <c r="G35" s="44">
        <f t="shared" si="6"/>
        <v>6454548.780000001</v>
      </c>
      <c r="H35" s="61">
        <f t="shared" si="6"/>
        <v>-841099.9999999997</v>
      </c>
      <c r="I35" s="44">
        <f t="shared" si="6"/>
        <v>424286.49</v>
      </c>
      <c r="J35" s="44">
        <f t="shared" si="6"/>
        <v>7137828.608000001</v>
      </c>
      <c r="K35" s="44">
        <f>K27+K29</f>
        <v>6021411.667079999</v>
      </c>
      <c r="L35" s="61">
        <f>L27+L29</f>
        <v>-1540703.4309199995</v>
      </c>
    </row>
    <row r="36" spans="1:12" ht="12">
      <c r="A36" s="16"/>
      <c r="B36" s="15"/>
      <c r="C36" s="50"/>
      <c r="D36" s="50"/>
      <c r="E36" s="50"/>
      <c r="F36" s="22"/>
      <c r="G36" s="22"/>
      <c r="H36" s="63"/>
      <c r="I36" s="22"/>
      <c r="J36" s="22"/>
      <c r="K36" s="22"/>
      <c r="L36" s="58"/>
    </row>
    <row r="37" spans="1:12" ht="12">
      <c r="A37" s="16"/>
      <c r="B37" s="15" t="s">
        <v>62</v>
      </c>
      <c r="C37" s="50"/>
      <c r="D37" s="50"/>
      <c r="E37" s="50"/>
      <c r="F37" s="22"/>
      <c r="G37" s="22">
        <v>45221.14</v>
      </c>
      <c r="H37" s="63"/>
      <c r="I37" s="22"/>
      <c r="J37" s="22"/>
      <c r="K37" s="22"/>
      <c r="L37" s="58"/>
    </row>
    <row r="38" spans="1:12" ht="12">
      <c r="A38" s="16"/>
      <c r="B38" s="48"/>
      <c r="C38" s="29"/>
      <c r="D38" s="29"/>
      <c r="E38" s="29"/>
      <c r="F38" s="47"/>
      <c r="G38" s="47"/>
      <c r="H38" s="62"/>
      <c r="I38" s="47"/>
      <c r="J38" s="47"/>
      <c r="K38" s="47"/>
      <c r="L38" s="62"/>
    </row>
    <row r="39" spans="1:12" s="45" customFormat="1" ht="12">
      <c r="A39" s="43"/>
      <c r="B39" s="52"/>
      <c r="C39" s="53"/>
      <c r="D39" s="44">
        <f>D35+D37</f>
        <v>334021.5</v>
      </c>
      <c r="E39" s="44">
        <f aca="true" t="shared" si="7" ref="E39:L39">E35+E37</f>
        <v>6955760.199999999</v>
      </c>
      <c r="F39" s="44">
        <f t="shared" si="7"/>
        <v>7295648.779999999</v>
      </c>
      <c r="G39" s="44">
        <f t="shared" si="7"/>
        <v>6499769.920000001</v>
      </c>
      <c r="H39" s="61">
        <f t="shared" si="7"/>
        <v>-841099.9999999997</v>
      </c>
      <c r="I39" s="44">
        <f t="shared" si="7"/>
        <v>424286.49</v>
      </c>
      <c r="J39" s="44">
        <f t="shared" si="7"/>
        <v>7137828.608000001</v>
      </c>
      <c r="K39" s="44">
        <f t="shared" si="7"/>
        <v>6021411.667079999</v>
      </c>
      <c r="L39" s="61">
        <f t="shared" si="7"/>
        <v>-1540703.4309199995</v>
      </c>
    </row>
    <row r="40" spans="9:11" ht="12">
      <c r="I40" s="4" t="s">
        <v>64</v>
      </c>
      <c r="K40" s="4">
        <v>61616.2</v>
      </c>
    </row>
    <row r="41" spans="2:11" ht="12">
      <c r="B41" s="2"/>
      <c r="C41" s="5"/>
      <c r="I41" s="4" t="s">
        <v>65</v>
      </c>
      <c r="K41" s="4">
        <v>416742.05</v>
      </c>
    </row>
    <row r="42" spans="2:11" ht="12">
      <c r="B42" s="2" t="s">
        <v>102</v>
      </c>
      <c r="C42" s="5" t="s">
        <v>67</v>
      </c>
      <c r="D42" s="3" t="s">
        <v>68</v>
      </c>
      <c r="K42" s="4">
        <f>G39-K39-K40-K41</f>
        <v>0.002920001745223999</v>
      </c>
    </row>
    <row r="43" spans="1:4" ht="12">
      <c r="A43" s="54"/>
      <c r="B43" s="2" t="s">
        <v>103</v>
      </c>
      <c r="C43" s="5" t="s">
        <v>67</v>
      </c>
      <c r="D43" s="3" t="s">
        <v>70</v>
      </c>
    </row>
  </sheetData>
  <mergeCells count="5">
    <mergeCell ref="I4:L4"/>
    <mergeCell ref="A4:A5"/>
    <mergeCell ref="B4:B5"/>
    <mergeCell ref="C4:C5"/>
    <mergeCell ref="D4:H4"/>
  </mergeCells>
  <printOptions/>
  <pageMargins left="0.3" right="0.75" top="1" bottom="0.34" header="0.5" footer="0.5"/>
  <pageSetup horizontalDpi="600" verticalDpi="600" orientation="landscape" paperSize="9" scale="66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9" sqref="G19"/>
    </sheetView>
  </sheetViews>
  <sheetFormatPr defaultColWidth="9.00390625" defaultRowHeight="12.75"/>
  <cols>
    <col min="1" max="1" width="4.75390625" style="1" customWidth="1"/>
    <col min="2" max="2" width="41.625" style="6" customWidth="1"/>
    <col min="3" max="3" width="27.00390625" style="3" customWidth="1"/>
    <col min="4" max="4" width="14.75390625" style="3" customWidth="1"/>
    <col min="5" max="5" width="14.375" style="3" customWidth="1"/>
    <col min="6" max="6" width="15.25390625" style="4" customWidth="1"/>
    <col min="7" max="11" width="14.875" style="4" customWidth="1"/>
    <col min="12" max="12" width="15.625" style="4" customWidth="1"/>
    <col min="13" max="16384" width="9.125" style="1" customWidth="1"/>
  </cols>
  <sheetData>
    <row r="1" ht="24">
      <c r="B1" s="2" t="s">
        <v>99</v>
      </c>
    </row>
    <row r="2" spans="2:5" ht="12">
      <c r="B2" s="2"/>
      <c r="C2" s="5"/>
      <c r="D2" s="5"/>
      <c r="E2" s="5"/>
    </row>
    <row r="4" spans="1:12" s="7" customFormat="1" ht="12.75" customHeight="1">
      <c r="A4" s="78" t="s">
        <v>0</v>
      </c>
      <c r="B4" s="80" t="s">
        <v>1</v>
      </c>
      <c r="C4" s="82" t="s">
        <v>2</v>
      </c>
      <c r="D4" s="75" t="s">
        <v>3</v>
      </c>
      <c r="E4" s="76"/>
      <c r="F4" s="76"/>
      <c r="G4" s="76"/>
      <c r="H4" s="77"/>
      <c r="I4" s="75" t="s">
        <v>4</v>
      </c>
      <c r="J4" s="76"/>
      <c r="K4" s="76"/>
      <c r="L4" s="77"/>
    </row>
    <row r="5" spans="1:12" s="7" customFormat="1" ht="51" customHeight="1">
      <c r="A5" s="79"/>
      <c r="B5" s="81"/>
      <c r="C5" s="83"/>
      <c r="D5" s="11" t="s">
        <v>5</v>
      </c>
      <c r="E5" s="11" t="s">
        <v>98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</row>
    <row r="6" spans="1:12" s="7" customFormat="1" ht="15" customHeight="1">
      <c r="A6" s="8"/>
      <c r="B6" s="9" t="s">
        <v>14</v>
      </c>
      <c r="C6" s="10">
        <v>2517.6</v>
      </c>
      <c r="D6" s="11"/>
      <c r="E6" s="11"/>
      <c r="F6" s="12"/>
      <c r="G6" s="12"/>
      <c r="H6" s="12"/>
      <c r="I6" s="9"/>
      <c r="J6" s="9"/>
      <c r="K6" s="9"/>
      <c r="L6" s="9"/>
    </row>
    <row r="7" spans="1:12" s="7" customFormat="1" ht="12">
      <c r="A7" s="13"/>
      <c r="B7" s="12" t="s">
        <v>15</v>
      </c>
      <c r="C7" s="11">
        <v>81</v>
      </c>
      <c r="D7" s="11"/>
      <c r="E7" s="11"/>
      <c r="F7" s="14"/>
      <c r="G7" s="14"/>
      <c r="H7" s="14"/>
      <c r="I7" s="14"/>
      <c r="J7" s="14"/>
      <c r="K7" s="14"/>
      <c r="L7" s="14"/>
    </row>
    <row r="8" spans="1:12" s="7" customFormat="1" ht="12">
      <c r="A8" s="15">
        <v>1</v>
      </c>
      <c r="B8" s="15" t="s">
        <v>16</v>
      </c>
      <c r="C8" s="11"/>
      <c r="D8" s="11"/>
      <c r="E8" s="11"/>
      <c r="F8" s="14"/>
      <c r="G8" s="14"/>
      <c r="H8" s="14"/>
      <c r="I8" s="14"/>
      <c r="J8" s="14"/>
      <c r="K8" s="14"/>
      <c r="L8" s="14"/>
    </row>
    <row r="9" spans="1:12" s="7" customFormat="1" ht="12">
      <c r="A9" s="16"/>
      <c r="B9" s="16"/>
      <c r="C9" s="11"/>
      <c r="D9" s="11"/>
      <c r="E9" s="11"/>
      <c r="F9" s="14"/>
      <c r="G9" s="14"/>
      <c r="H9" s="14"/>
      <c r="I9" s="14"/>
      <c r="J9" s="14"/>
      <c r="K9" s="14"/>
      <c r="L9" s="14"/>
    </row>
    <row r="10" spans="1:17" s="25" customFormat="1" ht="12">
      <c r="A10" s="18" t="s">
        <v>17</v>
      </c>
      <c r="B10" s="19" t="s">
        <v>18</v>
      </c>
      <c r="C10" s="20" t="s">
        <v>19</v>
      </c>
      <c r="D10" s="21"/>
      <c r="E10" s="21">
        <v>736398</v>
      </c>
      <c r="F10" s="22">
        <f>D10+E10</f>
        <v>736398</v>
      </c>
      <c r="G10" s="22">
        <v>669713.69</v>
      </c>
      <c r="H10" s="63">
        <f>G10-F10</f>
        <v>-66684.31000000006</v>
      </c>
      <c r="I10" s="22"/>
      <c r="J10" s="22">
        <v>555710.89</v>
      </c>
      <c r="K10" s="22">
        <v>278318.3</v>
      </c>
      <c r="L10" s="58">
        <f>K10-J10</f>
        <v>-277392.59</v>
      </c>
      <c r="M10" s="24"/>
      <c r="N10" s="24"/>
      <c r="O10" s="24"/>
      <c r="P10" s="24"/>
      <c r="Q10" s="24"/>
    </row>
    <row r="11" spans="1:17" s="25" customFormat="1" ht="12">
      <c r="A11" s="26" t="s">
        <v>20</v>
      </c>
      <c r="B11" s="27" t="s">
        <v>21</v>
      </c>
      <c r="C11" s="20" t="s">
        <v>22</v>
      </c>
      <c r="D11" s="21"/>
      <c r="E11" s="21">
        <v>38519.28</v>
      </c>
      <c r="F11" s="22">
        <f aca="true" t="shared" si="0" ref="F11:F17">D11+E11</f>
        <v>38519.28</v>
      </c>
      <c r="G11" s="22">
        <v>35016.99</v>
      </c>
      <c r="H11" s="63">
        <f aca="true" t="shared" si="1" ref="H11:H24">G11-F11</f>
        <v>-3502.290000000001</v>
      </c>
      <c r="I11" s="22"/>
      <c r="J11" s="22">
        <v>38519.28</v>
      </c>
      <c r="K11" s="22">
        <v>38519.28</v>
      </c>
      <c r="L11" s="58">
        <f aca="true" t="shared" si="2" ref="L11:L34">K11-J11</f>
        <v>0</v>
      </c>
      <c r="M11" s="24"/>
      <c r="N11" s="24"/>
      <c r="O11" s="24"/>
      <c r="P11" s="24"/>
      <c r="Q11" s="24"/>
    </row>
    <row r="12" spans="1:17" s="25" customFormat="1" ht="12">
      <c r="A12" s="26" t="s">
        <v>23</v>
      </c>
      <c r="B12" s="27" t="s">
        <v>24</v>
      </c>
      <c r="C12" s="20" t="s">
        <v>22</v>
      </c>
      <c r="D12" s="21"/>
      <c r="E12" s="21">
        <v>45316.8</v>
      </c>
      <c r="F12" s="22">
        <f t="shared" si="0"/>
        <v>45316.8</v>
      </c>
      <c r="G12" s="22">
        <v>41226.04</v>
      </c>
      <c r="H12" s="63">
        <f t="shared" si="1"/>
        <v>-4090.760000000002</v>
      </c>
      <c r="I12" s="22"/>
      <c r="J12" s="22">
        <v>45316.8</v>
      </c>
      <c r="K12" s="22">
        <v>45316.8</v>
      </c>
      <c r="L12" s="58">
        <f t="shared" si="2"/>
        <v>0</v>
      </c>
      <c r="M12" s="24"/>
      <c r="N12" s="24"/>
      <c r="O12" s="24"/>
      <c r="P12" s="24"/>
      <c r="Q12" s="24"/>
    </row>
    <row r="13" spans="1:17" s="25" customFormat="1" ht="24">
      <c r="A13" s="28" t="s">
        <v>25</v>
      </c>
      <c r="B13" s="19" t="s">
        <v>26</v>
      </c>
      <c r="C13" s="29" t="s">
        <v>83</v>
      </c>
      <c r="D13" s="21"/>
      <c r="E13" s="21">
        <v>44637.05</v>
      </c>
      <c r="F13" s="22">
        <f t="shared" si="0"/>
        <v>44637.05</v>
      </c>
      <c r="G13" s="22">
        <v>40584.06</v>
      </c>
      <c r="H13" s="63">
        <f t="shared" si="1"/>
        <v>-4052.9900000000052</v>
      </c>
      <c r="I13" s="22"/>
      <c r="J13" s="22">
        <f>26720+21624</f>
        <v>48344</v>
      </c>
      <c r="K13" s="22">
        <f>14720+21624</f>
        <v>36344</v>
      </c>
      <c r="L13" s="58">
        <f t="shared" si="2"/>
        <v>-12000</v>
      </c>
      <c r="M13" s="24"/>
      <c r="N13" s="24"/>
      <c r="O13" s="24"/>
      <c r="P13" s="24"/>
      <c r="Q13" s="24"/>
    </row>
    <row r="14" spans="1:17" s="25" customFormat="1" ht="12">
      <c r="A14" s="26" t="s">
        <v>28</v>
      </c>
      <c r="B14" s="30" t="s">
        <v>29</v>
      </c>
      <c r="C14" s="20" t="s">
        <v>22</v>
      </c>
      <c r="D14" s="21"/>
      <c r="E14" s="21">
        <v>33081.26</v>
      </c>
      <c r="F14" s="22">
        <f t="shared" si="0"/>
        <v>33081.26</v>
      </c>
      <c r="G14" s="22">
        <v>30089.49</v>
      </c>
      <c r="H14" s="63">
        <f t="shared" si="1"/>
        <v>-2991.7700000000004</v>
      </c>
      <c r="I14" s="22"/>
      <c r="J14" s="22">
        <v>33081.26</v>
      </c>
      <c r="K14" s="22">
        <v>33081.26</v>
      </c>
      <c r="L14" s="23">
        <v>0</v>
      </c>
      <c r="M14" s="24"/>
      <c r="N14" s="24"/>
      <c r="O14" s="24"/>
      <c r="P14" s="24"/>
      <c r="Q14" s="24"/>
    </row>
    <row r="15" spans="1:17" s="25" customFormat="1" ht="13.5" customHeight="1">
      <c r="A15" s="26" t="s">
        <v>30</v>
      </c>
      <c r="B15" s="30" t="s">
        <v>31</v>
      </c>
      <c r="C15" s="20" t="s">
        <v>22</v>
      </c>
      <c r="D15" s="21"/>
      <c r="E15" s="21">
        <v>250828.49</v>
      </c>
      <c r="F15" s="22">
        <f t="shared" si="0"/>
        <v>250828.49</v>
      </c>
      <c r="G15" s="22">
        <v>228089.5</v>
      </c>
      <c r="H15" s="63">
        <f t="shared" si="1"/>
        <v>-22738.98999999999</v>
      </c>
      <c r="I15" s="22"/>
      <c r="J15" s="22">
        <v>250828.49</v>
      </c>
      <c r="K15" s="22">
        <f>475382.55-407.78</f>
        <v>474974.76999999996</v>
      </c>
      <c r="L15" s="23">
        <f t="shared" si="2"/>
        <v>224146.27999999997</v>
      </c>
      <c r="M15" s="24"/>
      <c r="N15" s="24"/>
      <c r="O15" s="24"/>
      <c r="P15" s="24"/>
      <c r="Q15" s="24"/>
    </row>
    <row r="16" spans="1:17" s="25" customFormat="1" ht="15" customHeight="1">
      <c r="A16" s="28" t="s">
        <v>32</v>
      </c>
      <c r="B16" s="19" t="s">
        <v>33</v>
      </c>
      <c r="C16" s="20" t="s">
        <v>34</v>
      </c>
      <c r="D16" s="21"/>
      <c r="E16" s="21">
        <v>7560</v>
      </c>
      <c r="F16" s="22">
        <f t="shared" si="0"/>
        <v>7560</v>
      </c>
      <c r="G16" s="22">
        <v>6846.23</v>
      </c>
      <c r="H16" s="63">
        <f t="shared" si="1"/>
        <v>-713.7700000000004</v>
      </c>
      <c r="I16" s="22"/>
      <c r="J16" s="22"/>
      <c r="K16" s="22"/>
      <c r="L16" s="23">
        <f t="shared" si="2"/>
        <v>0</v>
      </c>
      <c r="M16" s="24"/>
      <c r="N16" s="24"/>
      <c r="O16" s="24"/>
      <c r="P16" s="24"/>
      <c r="Q16" s="24"/>
    </row>
    <row r="17" spans="1:17" s="25" customFormat="1" ht="12">
      <c r="A17" s="28" t="s">
        <v>35</v>
      </c>
      <c r="B17" s="19" t="s">
        <v>40</v>
      </c>
      <c r="C17" s="20" t="s">
        <v>19</v>
      </c>
      <c r="D17" s="21"/>
      <c r="E17" s="21">
        <v>26717.85</v>
      </c>
      <c r="F17" s="22">
        <f t="shared" si="0"/>
        <v>26717.85</v>
      </c>
      <c r="G17" s="22">
        <v>19336.47</v>
      </c>
      <c r="H17" s="63">
        <f>G17-F17</f>
        <v>-7381.379999999997</v>
      </c>
      <c r="I17" s="22"/>
      <c r="J17" s="22">
        <v>17334.83</v>
      </c>
      <c r="K17" s="22">
        <v>20509.49</v>
      </c>
      <c r="L17" s="23">
        <f t="shared" si="2"/>
        <v>3174.66</v>
      </c>
      <c r="M17" s="24"/>
      <c r="N17" s="24"/>
      <c r="O17" s="24"/>
      <c r="P17" s="24"/>
      <c r="Q17" s="24"/>
    </row>
    <row r="18" spans="1:17" s="25" customFormat="1" ht="12">
      <c r="A18" s="28"/>
      <c r="B18" s="19"/>
      <c r="C18" s="20"/>
      <c r="D18" s="21"/>
      <c r="E18" s="21"/>
      <c r="F18" s="22"/>
      <c r="G18" s="22"/>
      <c r="H18" s="22"/>
      <c r="I18" s="22"/>
      <c r="J18" s="22"/>
      <c r="K18" s="22"/>
      <c r="L18" s="23"/>
      <c r="M18" s="24"/>
      <c r="N18" s="24"/>
      <c r="O18" s="24"/>
      <c r="P18" s="24"/>
      <c r="Q18" s="24"/>
    </row>
    <row r="19" spans="1:17" s="35" customFormat="1" ht="12">
      <c r="A19" s="31"/>
      <c r="B19" s="31" t="s">
        <v>43</v>
      </c>
      <c r="C19" s="32"/>
      <c r="D19" s="33">
        <f aca="true" t="shared" si="3" ref="D19:L19">SUM(D10:D17)</f>
        <v>0</v>
      </c>
      <c r="E19" s="33">
        <f t="shared" si="3"/>
        <v>1183058.7300000002</v>
      </c>
      <c r="F19" s="33">
        <f t="shared" si="3"/>
        <v>1183058.7300000002</v>
      </c>
      <c r="G19" s="33">
        <f t="shared" si="3"/>
        <v>1070902.47</v>
      </c>
      <c r="H19" s="59">
        <f t="shared" si="3"/>
        <v>-112156.26000000007</v>
      </c>
      <c r="I19" s="33">
        <f t="shared" si="3"/>
        <v>0</v>
      </c>
      <c r="J19" s="33">
        <f t="shared" si="3"/>
        <v>989135.55</v>
      </c>
      <c r="K19" s="33">
        <f t="shared" si="3"/>
        <v>927063.8999999999</v>
      </c>
      <c r="L19" s="59">
        <f t="shared" si="3"/>
        <v>-62071.65000000005</v>
      </c>
      <c r="M19" s="34"/>
      <c r="N19" s="34"/>
      <c r="O19" s="34"/>
      <c r="P19" s="34"/>
      <c r="Q19" s="34"/>
    </row>
    <row r="20" spans="1:17" s="35" customFormat="1" ht="12">
      <c r="A20" s="16"/>
      <c r="B20" s="16"/>
      <c r="C20" s="20"/>
      <c r="D20" s="21"/>
      <c r="E20" s="21"/>
      <c r="F20" s="21"/>
      <c r="G20" s="21"/>
      <c r="H20" s="64"/>
      <c r="I20" s="21"/>
      <c r="J20" s="21"/>
      <c r="K20" s="21"/>
      <c r="L20" s="64"/>
      <c r="M20" s="34"/>
      <c r="N20" s="34"/>
      <c r="O20" s="34"/>
      <c r="P20" s="34"/>
      <c r="Q20" s="34"/>
    </row>
    <row r="21" spans="1:17" s="25" customFormat="1" ht="12">
      <c r="A21" s="15">
        <v>2</v>
      </c>
      <c r="B21" s="15" t="s">
        <v>44</v>
      </c>
      <c r="C21" s="36" t="s">
        <v>45</v>
      </c>
      <c r="D21" s="21"/>
      <c r="E21" s="21">
        <v>149663.95</v>
      </c>
      <c r="F21" s="22">
        <f>D21+E21</f>
        <v>149663.95</v>
      </c>
      <c r="G21" s="22">
        <v>35735.48</v>
      </c>
      <c r="H21" s="63">
        <f>G21-F21</f>
        <v>-113928.47</v>
      </c>
      <c r="I21" s="22">
        <v>0</v>
      </c>
      <c r="J21" s="22">
        <v>149663.95</v>
      </c>
      <c r="K21" s="22">
        <v>86296.23</v>
      </c>
      <c r="L21" s="58">
        <f>K21-I21-J21</f>
        <v>-63367.720000000016</v>
      </c>
      <c r="M21" s="24"/>
      <c r="N21" s="24"/>
      <c r="O21" s="24"/>
      <c r="P21" s="24"/>
      <c r="Q21" s="24"/>
    </row>
    <row r="22" spans="1:17" s="25" customFormat="1" ht="12">
      <c r="A22" s="15">
        <v>3</v>
      </c>
      <c r="B22" s="15" t="s">
        <v>46</v>
      </c>
      <c r="C22" s="36" t="s">
        <v>47</v>
      </c>
      <c r="D22" s="21"/>
      <c r="E22" s="21">
        <v>58189.23</v>
      </c>
      <c r="F22" s="22">
        <f>D22+E22</f>
        <v>58189.23</v>
      </c>
      <c r="G22" s="22">
        <v>44874.21</v>
      </c>
      <c r="H22" s="63">
        <f t="shared" si="1"/>
        <v>-13315.020000000004</v>
      </c>
      <c r="I22" s="22"/>
      <c r="J22" s="22">
        <v>58189.23</v>
      </c>
      <c r="K22" s="22"/>
      <c r="L22" s="58">
        <f>K22-I22-J22</f>
        <v>-58189.23</v>
      </c>
      <c r="M22" s="24"/>
      <c r="N22" s="24"/>
      <c r="O22" s="24"/>
      <c r="P22" s="24"/>
      <c r="Q22" s="24"/>
    </row>
    <row r="23" spans="1:17" s="25" customFormat="1" ht="13.5" customHeight="1">
      <c r="A23" s="15">
        <v>4</v>
      </c>
      <c r="B23" s="15" t="s">
        <v>48</v>
      </c>
      <c r="C23" s="36" t="s">
        <v>45</v>
      </c>
      <c r="D23" s="21"/>
      <c r="E23" s="21">
        <v>146920.2</v>
      </c>
      <c r="F23" s="22">
        <f>D23+E23</f>
        <v>146920.2</v>
      </c>
      <c r="G23" s="22">
        <v>40045.97</v>
      </c>
      <c r="H23" s="63">
        <f t="shared" si="1"/>
        <v>-106874.23000000001</v>
      </c>
      <c r="I23" s="22">
        <v>0</v>
      </c>
      <c r="J23" s="22">
        <v>146920.2</v>
      </c>
      <c r="K23" s="22">
        <v>84703.77</v>
      </c>
      <c r="L23" s="58">
        <f>K23-I23-J23</f>
        <v>-62216.43000000001</v>
      </c>
      <c r="M23" s="24"/>
      <c r="N23" s="24"/>
      <c r="O23" s="24"/>
      <c r="P23" s="24"/>
      <c r="Q23" s="24"/>
    </row>
    <row r="24" spans="1:17" s="25" customFormat="1" ht="12">
      <c r="A24" s="15">
        <v>5</v>
      </c>
      <c r="B24" s="15" t="s">
        <v>79</v>
      </c>
      <c r="C24" s="36" t="s">
        <v>34</v>
      </c>
      <c r="D24" s="21"/>
      <c r="E24" s="21">
        <v>6606.03</v>
      </c>
      <c r="F24" s="22">
        <f>D24+E24</f>
        <v>6606.03</v>
      </c>
      <c r="G24" s="22">
        <v>6606.03</v>
      </c>
      <c r="H24" s="22">
        <f t="shared" si="1"/>
        <v>0</v>
      </c>
      <c r="I24" s="22"/>
      <c r="J24" s="22"/>
      <c r="K24" s="22"/>
      <c r="L24" s="23">
        <f>K24-I24-J24</f>
        <v>0</v>
      </c>
      <c r="M24" s="24"/>
      <c r="N24" s="24"/>
      <c r="O24" s="24"/>
      <c r="P24" s="24"/>
      <c r="Q24" s="24"/>
    </row>
    <row r="25" spans="1:17" s="25" customFormat="1" ht="12">
      <c r="A25" s="28"/>
      <c r="B25" s="37"/>
      <c r="C25" s="37"/>
      <c r="D25" s="38"/>
      <c r="E25" s="38"/>
      <c r="F25" s="22"/>
      <c r="G25" s="22"/>
      <c r="H25" s="22"/>
      <c r="I25" s="22"/>
      <c r="J25" s="22"/>
      <c r="K25" s="22"/>
      <c r="L25" s="23">
        <f>K25-I25-J25</f>
        <v>0</v>
      </c>
      <c r="M25" s="24"/>
      <c r="N25" s="24"/>
      <c r="O25" s="24"/>
      <c r="P25" s="24"/>
      <c r="Q25" s="24"/>
    </row>
    <row r="26" spans="1:17" s="42" customFormat="1" ht="12">
      <c r="A26" s="32"/>
      <c r="B26" s="39" t="s">
        <v>50</v>
      </c>
      <c r="C26" s="39"/>
      <c r="D26" s="40">
        <f>D19+D21+D22+D23+D24</f>
        <v>0</v>
      </c>
      <c r="E26" s="40">
        <f aca="true" t="shared" si="4" ref="E26:L26">E19+E21+E22+E23+E24</f>
        <v>1544438.1400000001</v>
      </c>
      <c r="F26" s="40">
        <f t="shared" si="4"/>
        <v>1544438.1400000001</v>
      </c>
      <c r="G26" s="40">
        <f t="shared" si="4"/>
        <v>1198164.16</v>
      </c>
      <c r="H26" s="60">
        <f t="shared" si="4"/>
        <v>-346273.9800000001</v>
      </c>
      <c r="I26" s="40">
        <f t="shared" si="4"/>
        <v>0</v>
      </c>
      <c r="J26" s="40">
        <f t="shared" si="4"/>
        <v>1343908.93</v>
      </c>
      <c r="K26" s="40">
        <f t="shared" si="4"/>
        <v>1098063.9</v>
      </c>
      <c r="L26" s="60">
        <f t="shared" si="4"/>
        <v>-245845.0300000001</v>
      </c>
      <c r="M26" s="41"/>
      <c r="N26" s="41"/>
      <c r="O26" s="41"/>
      <c r="P26" s="41"/>
      <c r="Q26" s="41"/>
    </row>
    <row r="27" spans="1:17" s="35" customFormat="1" ht="12">
      <c r="A27" s="26"/>
      <c r="B27" s="38"/>
      <c r="C27" s="38"/>
      <c r="D27" s="38"/>
      <c r="E27" s="38"/>
      <c r="F27" s="22"/>
      <c r="G27" s="22"/>
      <c r="H27" s="63"/>
      <c r="I27" s="22"/>
      <c r="J27" s="22"/>
      <c r="K27" s="22"/>
      <c r="L27" s="58">
        <f t="shared" si="2"/>
        <v>0</v>
      </c>
      <c r="M27" s="34"/>
      <c r="N27" s="34"/>
      <c r="O27" s="34"/>
      <c r="P27" s="34"/>
      <c r="Q27" s="34"/>
    </row>
    <row r="28" spans="1:12" s="45" customFormat="1" ht="12">
      <c r="A28" s="43"/>
      <c r="B28" s="31" t="s">
        <v>51</v>
      </c>
      <c r="C28" s="31"/>
      <c r="D28" s="44">
        <f aca="true" t="shared" si="5" ref="D28:L28">SUM(D29:D35)</f>
        <v>0</v>
      </c>
      <c r="E28" s="44">
        <f t="shared" si="5"/>
        <v>178697</v>
      </c>
      <c r="F28" s="44">
        <f t="shared" si="5"/>
        <v>178697</v>
      </c>
      <c r="G28" s="44">
        <f t="shared" si="5"/>
        <v>118560.4</v>
      </c>
      <c r="H28" s="61">
        <f t="shared" si="5"/>
        <v>-60136.600000000006</v>
      </c>
      <c r="I28" s="44">
        <f t="shared" si="5"/>
        <v>0</v>
      </c>
      <c r="J28" s="44">
        <f t="shared" si="5"/>
        <v>208764.78</v>
      </c>
      <c r="K28" s="44">
        <f t="shared" si="5"/>
        <v>91368.18</v>
      </c>
      <c r="L28" s="61">
        <f t="shared" si="5"/>
        <v>-117396.6</v>
      </c>
    </row>
    <row r="29" spans="1:12" ht="14.25" customHeight="1">
      <c r="A29" s="16"/>
      <c r="B29" s="46"/>
      <c r="C29" s="15"/>
      <c r="D29" s="15"/>
      <c r="E29" s="15"/>
      <c r="F29" s="47"/>
      <c r="G29" s="47"/>
      <c r="H29" s="62"/>
      <c r="I29" s="47"/>
      <c r="J29" s="47"/>
      <c r="K29" s="47"/>
      <c r="L29" s="58">
        <f t="shared" si="2"/>
        <v>0</v>
      </c>
    </row>
    <row r="30" spans="1:12" ht="12.75" customHeight="1">
      <c r="A30" s="16">
        <v>1</v>
      </c>
      <c r="B30" s="46" t="s">
        <v>100</v>
      </c>
      <c r="C30" s="46" t="s">
        <v>53</v>
      </c>
      <c r="D30" s="46"/>
      <c r="E30" s="56">
        <v>178697</v>
      </c>
      <c r="F30" s="47">
        <f>D30+E30</f>
        <v>178697</v>
      </c>
      <c r="G30" s="47">
        <f>65710.4+52850</f>
        <v>118560.4</v>
      </c>
      <c r="H30" s="62">
        <f>G30-F30</f>
        <v>-60136.600000000006</v>
      </c>
      <c r="I30" s="47">
        <v>0</v>
      </c>
      <c r="J30" s="47">
        <v>178697</v>
      </c>
      <c r="K30" s="47">
        <v>65710.4</v>
      </c>
      <c r="L30" s="58">
        <f>K30-I30-J30</f>
        <v>-112986.6</v>
      </c>
    </row>
    <row r="31" spans="1:12" ht="12">
      <c r="A31" s="16">
        <v>2</v>
      </c>
      <c r="B31" s="46" t="s">
        <v>72</v>
      </c>
      <c r="C31" s="46" t="s">
        <v>53</v>
      </c>
      <c r="D31" s="46"/>
      <c r="E31" s="46"/>
      <c r="F31" s="47"/>
      <c r="G31" s="47"/>
      <c r="H31" s="62"/>
      <c r="I31" s="47"/>
      <c r="J31" s="47">
        <v>4410</v>
      </c>
      <c r="K31" s="47"/>
      <c r="L31" s="58">
        <f t="shared" si="2"/>
        <v>-4410</v>
      </c>
    </row>
    <row r="32" spans="1:12" ht="12">
      <c r="A32" s="16">
        <v>3</v>
      </c>
      <c r="B32" s="46" t="s">
        <v>54</v>
      </c>
      <c r="C32" s="46" t="s">
        <v>55</v>
      </c>
      <c r="D32" s="46"/>
      <c r="E32" s="46"/>
      <c r="F32" s="47"/>
      <c r="G32" s="47"/>
      <c r="H32" s="62"/>
      <c r="I32" s="47">
        <v>0</v>
      </c>
      <c r="J32" s="47">
        <v>7250</v>
      </c>
      <c r="K32" s="47">
        <v>7250</v>
      </c>
      <c r="L32" s="58">
        <f t="shared" si="2"/>
        <v>0</v>
      </c>
    </row>
    <row r="33" spans="1:12" ht="12">
      <c r="A33" s="16">
        <v>4</v>
      </c>
      <c r="B33" s="46" t="s">
        <v>56</v>
      </c>
      <c r="C33" s="46" t="s">
        <v>57</v>
      </c>
      <c r="D33" s="46"/>
      <c r="E33" s="46"/>
      <c r="F33" s="47"/>
      <c r="G33" s="47"/>
      <c r="H33" s="62"/>
      <c r="I33" s="47"/>
      <c r="J33" s="47">
        <v>18000</v>
      </c>
      <c r="K33" s="47">
        <v>18000</v>
      </c>
      <c r="L33" s="58">
        <f t="shared" si="2"/>
        <v>0</v>
      </c>
    </row>
    <row r="34" spans="1:12" ht="12">
      <c r="A34" s="16">
        <v>5</v>
      </c>
      <c r="B34" s="46" t="s">
        <v>101</v>
      </c>
      <c r="C34" s="46" t="s">
        <v>47</v>
      </c>
      <c r="D34" s="46"/>
      <c r="E34" s="46"/>
      <c r="F34" s="47"/>
      <c r="G34" s="47"/>
      <c r="H34" s="62"/>
      <c r="I34" s="47"/>
      <c r="J34" s="47">
        <v>407.78</v>
      </c>
      <c r="K34" s="47">
        <v>407.78</v>
      </c>
      <c r="L34" s="58">
        <f t="shared" si="2"/>
        <v>0</v>
      </c>
    </row>
    <row r="35" spans="1:12" ht="12">
      <c r="A35" s="16"/>
      <c r="B35" s="46"/>
      <c r="C35" s="46"/>
      <c r="D35" s="46"/>
      <c r="E35" s="46"/>
      <c r="F35" s="47"/>
      <c r="G35" s="47"/>
      <c r="H35" s="62"/>
      <c r="I35" s="47"/>
      <c r="J35" s="47"/>
      <c r="K35" s="47"/>
      <c r="L35" s="58"/>
    </row>
    <row r="36" spans="1:12" s="45" customFormat="1" ht="12.75" customHeight="1">
      <c r="A36" s="43"/>
      <c r="B36" s="31" t="s">
        <v>59</v>
      </c>
      <c r="C36" s="31"/>
      <c r="D36" s="44">
        <f aca="true" t="shared" si="6" ref="D36:L36">D26+D28</f>
        <v>0</v>
      </c>
      <c r="E36" s="44">
        <f t="shared" si="6"/>
        <v>1723135.1400000001</v>
      </c>
      <c r="F36" s="44">
        <f t="shared" si="6"/>
        <v>1723135.1400000001</v>
      </c>
      <c r="G36" s="44">
        <f t="shared" si="6"/>
        <v>1316724.5599999998</v>
      </c>
      <c r="H36" s="61">
        <f t="shared" si="6"/>
        <v>-406410.5800000001</v>
      </c>
      <c r="I36" s="44">
        <f t="shared" si="6"/>
        <v>0</v>
      </c>
      <c r="J36" s="44">
        <f t="shared" si="6"/>
        <v>1552673.71</v>
      </c>
      <c r="K36" s="44">
        <f>K26+K28</f>
        <v>1189432.0799999998</v>
      </c>
      <c r="L36" s="61">
        <f t="shared" si="6"/>
        <v>-363241.6300000001</v>
      </c>
    </row>
    <row r="37" spans="9:11" ht="12">
      <c r="I37" s="4" t="s">
        <v>64</v>
      </c>
      <c r="K37" s="4">
        <f>69633.48+33612</f>
        <v>103245.48</v>
      </c>
    </row>
    <row r="38" spans="2:11" ht="12">
      <c r="B38" s="2"/>
      <c r="C38" s="5"/>
      <c r="I38" s="4" t="s">
        <v>65</v>
      </c>
      <c r="K38" s="4">
        <v>24047</v>
      </c>
    </row>
    <row r="39" spans="2:4" ht="12">
      <c r="B39" s="2" t="s">
        <v>102</v>
      </c>
      <c r="C39" s="5" t="s">
        <v>67</v>
      </c>
      <c r="D39" s="3" t="s">
        <v>68</v>
      </c>
    </row>
    <row r="40" spans="1:11" ht="12">
      <c r="A40" s="54"/>
      <c r="B40" s="2" t="s">
        <v>103</v>
      </c>
      <c r="C40" s="5" t="s">
        <v>67</v>
      </c>
      <c r="D40" s="3" t="s">
        <v>70</v>
      </c>
      <c r="K40" s="4">
        <f>G36-K36-K37-K38</f>
        <v>0</v>
      </c>
    </row>
  </sheetData>
  <mergeCells count="5">
    <mergeCell ref="I4:L4"/>
    <mergeCell ref="A4:A5"/>
    <mergeCell ref="B4:B5"/>
    <mergeCell ref="C4:C5"/>
    <mergeCell ref="D4:H4"/>
  </mergeCells>
  <printOptions/>
  <pageMargins left="0.27" right="0.16" top="1" bottom="1" header="0.5" footer="0.5"/>
  <pageSetup horizontalDpi="600" verticalDpi="600" orientation="landscape" paperSize="9" scale="7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pane xSplit="3" ySplit="5" topLeftCell="G2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36" sqref="L36"/>
    </sheetView>
  </sheetViews>
  <sheetFormatPr defaultColWidth="9.00390625" defaultRowHeight="12.75"/>
  <cols>
    <col min="1" max="1" width="4.75390625" style="1" customWidth="1"/>
    <col min="2" max="2" width="41.625" style="6" customWidth="1"/>
    <col min="3" max="3" width="27.00390625" style="3" customWidth="1"/>
    <col min="4" max="4" width="14.75390625" style="3" customWidth="1"/>
    <col min="5" max="5" width="14.375" style="3" customWidth="1"/>
    <col min="6" max="6" width="15.25390625" style="4" customWidth="1"/>
    <col min="7" max="11" width="14.875" style="4" customWidth="1"/>
    <col min="12" max="12" width="15.625" style="4" customWidth="1"/>
    <col min="13" max="16384" width="9.125" style="1" customWidth="1"/>
  </cols>
  <sheetData>
    <row r="1" ht="24">
      <c r="B1" s="2" t="s">
        <v>109</v>
      </c>
    </row>
    <row r="2" spans="2:5" ht="12">
      <c r="B2" s="2" t="s">
        <v>73</v>
      </c>
      <c r="C2" s="5"/>
      <c r="D2" s="5"/>
      <c r="E2" s="5"/>
    </row>
    <row r="4" spans="1:12" s="7" customFormat="1" ht="12.75" customHeight="1">
      <c r="A4" s="78" t="s">
        <v>0</v>
      </c>
      <c r="B4" s="80" t="s">
        <v>1</v>
      </c>
      <c r="C4" s="82" t="s">
        <v>2</v>
      </c>
      <c r="D4" s="75" t="s">
        <v>3</v>
      </c>
      <c r="E4" s="76"/>
      <c r="F4" s="76"/>
      <c r="G4" s="76"/>
      <c r="H4" s="77"/>
      <c r="I4" s="75" t="s">
        <v>4</v>
      </c>
      <c r="J4" s="76"/>
      <c r="K4" s="76"/>
      <c r="L4" s="77"/>
    </row>
    <row r="5" spans="1:12" s="7" customFormat="1" ht="51" customHeight="1">
      <c r="A5" s="79"/>
      <c r="B5" s="81"/>
      <c r="C5" s="83"/>
      <c r="D5" s="11" t="s">
        <v>5</v>
      </c>
      <c r="E5" s="11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</row>
    <row r="6" spans="1:12" s="7" customFormat="1" ht="15" customHeight="1">
      <c r="A6" s="8"/>
      <c r="B6" s="9" t="s">
        <v>14</v>
      </c>
      <c r="C6" s="10">
        <v>2471.2</v>
      </c>
      <c r="D6" s="11"/>
      <c r="E6" s="11"/>
      <c r="F6" s="12"/>
      <c r="G6" s="12"/>
      <c r="H6" s="12"/>
      <c r="I6" s="9"/>
      <c r="J6" s="9"/>
      <c r="K6" s="9"/>
      <c r="L6" s="9"/>
    </row>
    <row r="7" spans="1:12" s="7" customFormat="1" ht="12">
      <c r="A7" s="13"/>
      <c r="B7" s="12" t="s">
        <v>15</v>
      </c>
      <c r="C7" s="11">
        <v>42</v>
      </c>
      <c r="D7" s="11"/>
      <c r="E7" s="11"/>
      <c r="F7" s="14"/>
      <c r="G7" s="14"/>
      <c r="H7" s="14"/>
      <c r="I7" s="14"/>
      <c r="J7" s="14"/>
      <c r="K7" s="14"/>
      <c r="L7" s="14"/>
    </row>
    <row r="8" spans="1:12" s="7" customFormat="1" ht="12">
      <c r="A8" s="15">
        <v>1</v>
      </c>
      <c r="B8" s="15" t="s">
        <v>16</v>
      </c>
      <c r="C8" s="11"/>
      <c r="D8" s="11"/>
      <c r="E8" s="11"/>
      <c r="F8" s="14"/>
      <c r="G8" s="14"/>
      <c r="H8" s="14"/>
      <c r="I8" s="14"/>
      <c r="J8" s="14"/>
      <c r="K8" s="14"/>
      <c r="L8" s="14"/>
    </row>
    <row r="9" spans="1:12" s="7" customFormat="1" ht="12">
      <c r="A9" s="16"/>
      <c r="B9" s="16"/>
      <c r="C9" s="11"/>
      <c r="D9" s="11"/>
      <c r="E9" s="11"/>
      <c r="F9" s="14"/>
      <c r="G9" s="14"/>
      <c r="H9" s="14"/>
      <c r="I9" s="14"/>
      <c r="J9" s="14"/>
      <c r="K9" s="14"/>
      <c r="L9" s="14"/>
    </row>
    <row r="10" spans="1:17" s="25" customFormat="1" ht="12">
      <c r="A10" s="18" t="s">
        <v>17</v>
      </c>
      <c r="B10" s="19" t="s">
        <v>18</v>
      </c>
      <c r="C10" s="20" t="s">
        <v>19</v>
      </c>
      <c r="D10" s="21">
        <f>188233.75*62.09%</f>
        <v>116874.335375</v>
      </c>
      <c r="E10" s="21">
        <f>1642821.67*58.2%</f>
        <v>956122.2119400001</v>
      </c>
      <c r="F10" s="22">
        <f>D10+E10</f>
        <v>1072996.547315</v>
      </c>
      <c r="G10" s="22">
        <v>977194.36</v>
      </c>
      <c r="H10" s="63">
        <f>G10-F10</f>
        <v>-95802.1873150001</v>
      </c>
      <c r="I10" s="22">
        <v>101120.98</v>
      </c>
      <c r="J10" s="22">
        <v>647394.56</v>
      </c>
      <c r="K10" s="22">
        <v>616961.31</v>
      </c>
      <c r="L10" s="58">
        <f>K10-I10-J10</f>
        <v>-131554.22999999998</v>
      </c>
      <c r="M10" s="24"/>
      <c r="N10" s="24"/>
      <c r="O10" s="24"/>
      <c r="P10" s="24"/>
      <c r="Q10" s="24"/>
    </row>
    <row r="11" spans="1:17" s="25" customFormat="1" ht="12">
      <c r="A11" s="26" t="s">
        <v>20</v>
      </c>
      <c r="B11" s="27" t="s">
        <v>21</v>
      </c>
      <c r="C11" s="20" t="s">
        <v>22</v>
      </c>
      <c r="D11" s="21">
        <f>188233.75*3.34%</f>
        <v>6287.00725</v>
      </c>
      <c r="E11" s="21">
        <f>1642821.67*4.37%</f>
        <v>71791.306979</v>
      </c>
      <c r="F11" s="22">
        <f aca="true" t="shared" si="0" ref="F11:F20">D11+E11</f>
        <v>78078.314229</v>
      </c>
      <c r="G11" s="22">
        <v>73715.1</v>
      </c>
      <c r="H11" s="63">
        <f aca="true" t="shared" si="1" ref="H11:H30">G11-F11</f>
        <v>-4363.21422899999</v>
      </c>
      <c r="I11" s="22">
        <v>28249.25</v>
      </c>
      <c r="J11" s="22">
        <v>72356.74</v>
      </c>
      <c r="K11" s="22">
        <v>100605.99</v>
      </c>
      <c r="L11" s="58">
        <f aca="true" t="shared" si="2" ref="L11:L44">K11-I11-J11</f>
        <v>0</v>
      </c>
      <c r="M11" s="24"/>
      <c r="N11" s="24"/>
      <c r="O11" s="24"/>
      <c r="P11" s="24"/>
      <c r="Q11" s="24"/>
    </row>
    <row r="12" spans="1:17" s="25" customFormat="1" ht="12">
      <c r="A12" s="26" t="s">
        <v>23</v>
      </c>
      <c r="B12" s="27" t="s">
        <v>24</v>
      </c>
      <c r="C12" s="20" t="s">
        <v>22</v>
      </c>
      <c r="D12" s="21">
        <f>188233.75*4.06%</f>
        <v>7642.290249999999</v>
      </c>
      <c r="E12" s="21">
        <f>1642821.67*5.92%</f>
        <v>97255.042864</v>
      </c>
      <c r="F12" s="22">
        <f t="shared" si="0"/>
        <v>104897.33311400001</v>
      </c>
      <c r="G12" s="22">
        <v>100101.86</v>
      </c>
      <c r="H12" s="63">
        <f t="shared" si="1"/>
        <v>-4795.473114000008</v>
      </c>
      <c r="I12" s="22">
        <v>38296.21</v>
      </c>
      <c r="J12" s="22">
        <v>98087.21</v>
      </c>
      <c r="K12" s="22">
        <v>136383.42</v>
      </c>
      <c r="L12" s="58">
        <f t="shared" si="2"/>
        <v>0</v>
      </c>
      <c r="M12" s="24"/>
      <c r="N12" s="24"/>
      <c r="O12" s="24"/>
      <c r="P12" s="24"/>
      <c r="Q12" s="24"/>
    </row>
    <row r="13" spans="1:17" s="25" customFormat="1" ht="24">
      <c r="A13" s="28" t="s">
        <v>25</v>
      </c>
      <c r="B13" s="19" t="s">
        <v>26</v>
      </c>
      <c r="C13" s="29" t="s">
        <v>74</v>
      </c>
      <c r="D13" s="21">
        <f>188233.75*3.3%</f>
        <v>6211.71375</v>
      </c>
      <c r="E13" s="21">
        <f>1642821.67*3.53%</f>
        <v>57991.604950999994</v>
      </c>
      <c r="F13" s="22">
        <f t="shared" si="0"/>
        <v>64203.318701</v>
      </c>
      <c r="G13" s="22">
        <v>59279.33</v>
      </c>
      <c r="H13" s="63">
        <f t="shared" si="1"/>
        <v>-4923.988700999995</v>
      </c>
      <c r="I13" s="22">
        <f>3000+12374.97</f>
        <v>15374.97</v>
      </c>
      <c r="J13" s="22">
        <f>32640+78370-21624</f>
        <v>89386</v>
      </c>
      <c r="K13" s="22">
        <f>5440+81370-21624</f>
        <v>65186</v>
      </c>
      <c r="L13" s="58">
        <f t="shared" si="2"/>
        <v>-39574.97</v>
      </c>
      <c r="M13" s="24"/>
      <c r="N13" s="24"/>
      <c r="O13" s="24"/>
      <c r="P13" s="24"/>
      <c r="Q13" s="24"/>
    </row>
    <row r="14" spans="1:17" s="25" customFormat="1" ht="12">
      <c r="A14" s="26" t="s">
        <v>28</v>
      </c>
      <c r="B14" s="30" t="s">
        <v>29</v>
      </c>
      <c r="C14" s="20" t="s">
        <v>22</v>
      </c>
      <c r="D14" s="21">
        <f>188233.75*2.99%</f>
        <v>5628.189125000001</v>
      </c>
      <c r="E14" s="21">
        <f>1642821.67*2.44%</f>
        <v>40084.848748</v>
      </c>
      <c r="F14" s="22">
        <f t="shared" si="0"/>
        <v>45713.037872999994</v>
      </c>
      <c r="G14" s="22">
        <v>40972.01</v>
      </c>
      <c r="H14" s="63">
        <f t="shared" si="1"/>
        <v>-4741.027872999992</v>
      </c>
      <c r="I14" s="22">
        <v>15739.63</v>
      </c>
      <c r="J14" s="22">
        <v>40329.98</v>
      </c>
      <c r="K14" s="22">
        <v>56069.61</v>
      </c>
      <c r="L14" s="58">
        <f t="shared" si="2"/>
        <v>0</v>
      </c>
      <c r="M14" s="24"/>
      <c r="N14" s="24"/>
      <c r="O14" s="24"/>
      <c r="P14" s="24"/>
      <c r="Q14" s="24"/>
    </row>
    <row r="15" spans="1:17" s="25" customFormat="1" ht="12">
      <c r="A15" s="26" t="s">
        <v>30</v>
      </c>
      <c r="B15" s="30" t="s">
        <v>31</v>
      </c>
      <c r="C15" s="20" t="s">
        <v>22</v>
      </c>
      <c r="D15" s="21">
        <f>188233.75*19.62%</f>
        <v>36931.46175</v>
      </c>
      <c r="E15" s="21">
        <f>1642821.67*15.99%</f>
        <v>262687.185033</v>
      </c>
      <c r="F15" s="22">
        <f t="shared" si="0"/>
        <v>299618.64678300003</v>
      </c>
      <c r="G15" s="22">
        <v>268517.89</v>
      </c>
      <c r="H15" s="63">
        <f t="shared" si="1"/>
        <v>-31100.75678300002</v>
      </c>
      <c r="I15" s="22">
        <v>96168.82</v>
      </c>
      <c r="J15" s="22">
        <v>264313.79</v>
      </c>
      <c r="K15" s="22">
        <f>167496.54+71412.69+21624-707.16+218565.75</f>
        <v>478391.82</v>
      </c>
      <c r="L15" s="58">
        <f t="shared" si="2"/>
        <v>117909.21000000002</v>
      </c>
      <c r="M15" s="24"/>
      <c r="N15" s="24"/>
      <c r="O15" s="24"/>
      <c r="P15" s="24"/>
      <c r="Q15" s="24"/>
    </row>
    <row r="16" spans="1:17" s="25" customFormat="1" ht="12">
      <c r="A16" s="28" t="s">
        <v>32</v>
      </c>
      <c r="B16" s="19" t="s">
        <v>75</v>
      </c>
      <c r="C16" s="20" t="s">
        <v>76</v>
      </c>
      <c r="D16" s="21">
        <v>0</v>
      </c>
      <c r="E16" s="21">
        <f>1642821.67*6.22%</f>
        <v>102183.50787399999</v>
      </c>
      <c r="F16" s="22">
        <f t="shared" si="0"/>
        <v>102183.50787399999</v>
      </c>
      <c r="G16" s="22">
        <v>104914.47</v>
      </c>
      <c r="H16" s="22">
        <f t="shared" si="1"/>
        <v>2730.962126000013</v>
      </c>
      <c r="I16" s="22">
        <v>0</v>
      </c>
      <c r="J16" s="22">
        <v>129400.58</v>
      </c>
      <c r="K16" s="22">
        <v>56333.01</v>
      </c>
      <c r="L16" s="58">
        <f t="shared" si="2"/>
        <v>-73067.57</v>
      </c>
      <c r="M16" s="24"/>
      <c r="N16" s="24"/>
      <c r="O16" s="24"/>
      <c r="P16" s="24"/>
      <c r="Q16" s="24"/>
    </row>
    <row r="17" spans="1:17" s="25" customFormat="1" ht="12">
      <c r="A17" s="28" t="s">
        <v>35</v>
      </c>
      <c r="B17" s="19" t="s">
        <v>33</v>
      </c>
      <c r="C17" s="20" t="s">
        <v>34</v>
      </c>
      <c r="D17" s="21">
        <v>0</v>
      </c>
      <c r="E17" s="21">
        <f>1642821.67*0.55%</f>
        <v>9035.519185000001</v>
      </c>
      <c r="F17" s="22">
        <f t="shared" si="0"/>
        <v>9035.519185000001</v>
      </c>
      <c r="G17" s="22">
        <v>9343.82</v>
      </c>
      <c r="H17" s="22">
        <f t="shared" si="1"/>
        <v>308.3008149999987</v>
      </c>
      <c r="I17" s="22">
        <v>0</v>
      </c>
      <c r="J17" s="22">
        <v>3444</v>
      </c>
      <c r="K17" s="22">
        <v>1355.17</v>
      </c>
      <c r="L17" s="58">
        <f t="shared" si="2"/>
        <v>-2088.83</v>
      </c>
      <c r="M17" s="24"/>
      <c r="N17" s="24"/>
      <c r="O17" s="24"/>
      <c r="P17" s="24"/>
      <c r="Q17" s="24"/>
    </row>
    <row r="18" spans="1:17" s="25" customFormat="1" ht="12">
      <c r="A18" s="28" t="s">
        <v>37</v>
      </c>
      <c r="B18" s="19" t="s">
        <v>36</v>
      </c>
      <c r="C18" s="20" t="s">
        <v>77</v>
      </c>
      <c r="D18" s="21">
        <f>188233.75*2.08%</f>
        <v>3915.2619999999997</v>
      </c>
      <c r="E18" s="21">
        <f>1642821.67*1.69%</f>
        <v>27763.686222999997</v>
      </c>
      <c r="F18" s="22">
        <f t="shared" si="0"/>
        <v>31678.948222999996</v>
      </c>
      <c r="G18" s="22">
        <v>28370.54</v>
      </c>
      <c r="H18" s="63">
        <f t="shared" si="1"/>
        <v>-3308.408222999995</v>
      </c>
      <c r="I18" s="22">
        <v>1950</v>
      </c>
      <c r="J18" s="22">
        <v>24600</v>
      </c>
      <c r="K18" s="22">
        <v>20400</v>
      </c>
      <c r="L18" s="58">
        <f t="shared" si="2"/>
        <v>-6150</v>
      </c>
      <c r="M18" s="24"/>
      <c r="N18" s="24"/>
      <c r="O18" s="24"/>
      <c r="P18" s="24"/>
      <c r="Q18" s="24"/>
    </row>
    <row r="19" spans="1:17" s="25" customFormat="1" ht="12">
      <c r="A19" s="28"/>
      <c r="B19" s="19"/>
      <c r="C19" s="20"/>
      <c r="D19" s="21"/>
      <c r="E19" s="21"/>
      <c r="F19" s="22"/>
      <c r="G19" s="22"/>
      <c r="H19" s="63"/>
      <c r="I19" s="22"/>
      <c r="J19" s="22"/>
      <c r="K19" s="22"/>
      <c r="L19" s="58"/>
      <c r="M19" s="24"/>
      <c r="N19" s="24"/>
      <c r="O19" s="24"/>
      <c r="P19" s="24"/>
      <c r="Q19" s="24"/>
    </row>
    <row r="20" spans="1:17" s="25" customFormat="1" ht="12">
      <c r="A20" s="28" t="s">
        <v>39</v>
      </c>
      <c r="B20" s="19" t="s">
        <v>40</v>
      </c>
      <c r="C20" s="20" t="s">
        <v>19</v>
      </c>
      <c r="D20" s="21">
        <f>188233.75*2.52%</f>
        <v>4743.4905</v>
      </c>
      <c r="E20" s="21">
        <f>1642821.67*1.09%</f>
        <v>17906.756203</v>
      </c>
      <c r="F20" s="22">
        <f t="shared" si="0"/>
        <v>22650.246703</v>
      </c>
      <c r="G20" s="22">
        <v>18080.39</v>
      </c>
      <c r="H20" s="63">
        <f t="shared" si="1"/>
        <v>-4569.856703000001</v>
      </c>
      <c r="I20" s="22">
        <v>0</v>
      </c>
      <c r="J20" s="22">
        <v>19327.62</v>
      </c>
      <c r="K20" s="22">
        <v>19327.62</v>
      </c>
      <c r="L20" s="58">
        <f t="shared" si="2"/>
        <v>0</v>
      </c>
      <c r="M20" s="24"/>
      <c r="N20" s="24"/>
      <c r="O20" s="24"/>
      <c r="P20" s="24"/>
      <c r="Q20" s="24"/>
    </row>
    <row r="21" spans="1:17" s="25" customFormat="1" ht="12">
      <c r="A21" s="28"/>
      <c r="B21" s="19"/>
      <c r="C21" s="20"/>
      <c r="D21" s="21"/>
      <c r="E21" s="21"/>
      <c r="F21" s="22"/>
      <c r="G21" s="22"/>
      <c r="H21" s="63"/>
      <c r="I21" s="22"/>
      <c r="J21" s="22"/>
      <c r="K21" s="22"/>
      <c r="L21" s="58"/>
      <c r="M21" s="24"/>
      <c r="N21" s="24"/>
      <c r="O21" s="24"/>
      <c r="P21" s="24"/>
      <c r="Q21" s="24"/>
    </row>
    <row r="22" spans="1:17" s="35" customFormat="1" ht="12">
      <c r="A22" s="31"/>
      <c r="B22" s="31" t="s">
        <v>43</v>
      </c>
      <c r="C22" s="32"/>
      <c r="D22" s="33">
        <f aca="true" t="shared" si="3" ref="D22:L22">SUM(D10:D20)</f>
        <v>188233.75</v>
      </c>
      <c r="E22" s="33">
        <f t="shared" si="3"/>
        <v>1642821.6700000004</v>
      </c>
      <c r="F22" s="33">
        <f t="shared" si="3"/>
        <v>1831055.42</v>
      </c>
      <c r="G22" s="33">
        <f t="shared" si="3"/>
        <v>1680489.7700000003</v>
      </c>
      <c r="H22" s="59">
        <f t="shared" si="3"/>
        <v>-150565.65000000008</v>
      </c>
      <c r="I22" s="33">
        <f t="shared" si="3"/>
        <v>296899.86</v>
      </c>
      <c r="J22" s="33">
        <f t="shared" si="3"/>
        <v>1388640.4800000002</v>
      </c>
      <c r="K22" s="33">
        <f t="shared" si="3"/>
        <v>1551013.9500000002</v>
      </c>
      <c r="L22" s="59">
        <f t="shared" si="3"/>
        <v>-134526.38999999996</v>
      </c>
      <c r="M22" s="34"/>
      <c r="N22" s="34"/>
      <c r="O22" s="34"/>
      <c r="P22" s="34"/>
      <c r="Q22" s="34"/>
    </row>
    <row r="23" spans="1:17" s="35" customFormat="1" ht="12">
      <c r="A23" s="16"/>
      <c r="B23" s="16"/>
      <c r="C23" s="20"/>
      <c r="D23" s="21"/>
      <c r="E23" s="21"/>
      <c r="F23" s="21"/>
      <c r="G23" s="21"/>
      <c r="H23" s="64"/>
      <c r="I23" s="21"/>
      <c r="J23" s="21"/>
      <c r="K23" s="21"/>
      <c r="L23" s="58">
        <f t="shared" si="2"/>
        <v>0</v>
      </c>
      <c r="M23" s="34"/>
      <c r="N23" s="34"/>
      <c r="O23" s="34"/>
      <c r="P23" s="34"/>
      <c r="Q23" s="34"/>
    </row>
    <row r="24" spans="1:17" s="25" customFormat="1" ht="12">
      <c r="A24" s="15">
        <v>2</v>
      </c>
      <c r="B24" s="15" t="s">
        <v>44</v>
      </c>
      <c r="C24" s="36" t="s">
        <v>45</v>
      </c>
      <c r="D24" s="21">
        <v>7929.57</v>
      </c>
      <c r="E24" s="21">
        <v>86108.02</v>
      </c>
      <c r="F24" s="22">
        <f aca="true" t="shared" si="4" ref="F24:F30">D24+E24</f>
        <v>94037.59</v>
      </c>
      <c r="G24" s="22">
        <v>100725.77</v>
      </c>
      <c r="H24" s="63">
        <f t="shared" si="1"/>
        <v>6688.180000000008</v>
      </c>
      <c r="I24" s="22">
        <v>7929.57</v>
      </c>
      <c r="J24" s="22">
        <f>8079.27+5679.79+7471.81+5679.79+6651.73+6348+7623.67+9597.93+7745.17+8018.52+9233.45+3978.89</f>
        <v>86108.01999999999</v>
      </c>
      <c r="K24" s="22">
        <v>80496.18</v>
      </c>
      <c r="L24" s="58">
        <f t="shared" si="2"/>
        <v>-13541.410000000003</v>
      </c>
      <c r="M24" s="24"/>
      <c r="N24" s="24"/>
      <c r="O24" s="24"/>
      <c r="P24" s="24"/>
      <c r="Q24" s="24"/>
    </row>
    <row r="25" spans="1:17" s="25" customFormat="1" ht="12">
      <c r="A25" s="15">
        <v>3</v>
      </c>
      <c r="B25" s="15" t="s">
        <v>46</v>
      </c>
      <c r="C25" s="36" t="s">
        <v>47</v>
      </c>
      <c r="D25" s="21">
        <v>6248.39</v>
      </c>
      <c r="E25" s="21">
        <v>85171.64</v>
      </c>
      <c r="F25" s="22">
        <f t="shared" si="4"/>
        <v>91420.03</v>
      </c>
      <c r="G25" s="22">
        <v>72509.78</v>
      </c>
      <c r="H25" s="63">
        <f t="shared" si="1"/>
        <v>-18910.25</v>
      </c>
      <c r="I25" s="22">
        <v>6248.39</v>
      </c>
      <c r="J25" s="22">
        <v>85171.64</v>
      </c>
      <c r="K25" s="22">
        <v>82742</v>
      </c>
      <c r="L25" s="58">
        <f t="shared" si="2"/>
        <v>-8678.029999999999</v>
      </c>
      <c r="M25" s="24"/>
      <c r="N25" s="24"/>
      <c r="O25" s="24"/>
      <c r="P25" s="24"/>
      <c r="Q25" s="24"/>
    </row>
    <row r="26" spans="1:17" s="25" customFormat="1" ht="12">
      <c r="A26" s="15">
        <v>4</v>
      </c>
      <c r="B26" s="15" t="s">
        <v>48</v>
      </c>
      <c r="C26" s="36" t="s">
        <v>45</v>
      </c>
      <c r="D26" s="21"/>
      <c r="E26" s="21">
        <v>78272.18</v>
      </c>
      <c r="F26" s="22">
        <f t="shared" si="4"/>
        <v>78272.18</v>
      </c>
      <c r="G26" s="22">
        <v>71794.87</v>
      </c>
      <c r="H26" s="63">
        <f t="shared" si="1"/>
        <v>-6477.309999999998</v>
      </c>
      <c r="I26" s="22"/>
      <c r="J26" s="22">
        <f>6823.86+5028.73+6275.21+3656.34+6249.01+7549.84+6319.79+7742.24+6899.13+7977.66+8758.59+4991.78</f>
        <v>78272.18</v>
      </c>
      <c r="K26" s="22">
        <v>66995.86</v>
      </c>
      <c r="L26" s="58">
        <f t="shared" si="2"/>
        <v>-11276.319999999992</v>
      </c>
      <c r="M26" s="24"/>
      <c r="N26" s="24"/>
      <c r="O26" s="24"/>
      <c r="P26" s="24"/>
      <c r="Q26" s="24"/>
    </row>
    <row r="27" spans="1:17" s="25" customFormat="1" ht="12">
      <c r="A27" s="15">
        <v>5</v>
      </c>
      <c r="B27" s="15" t="s">
        <v>78</v>
      </c>
      <c r="C27" s="36" t="s">
        <v>47</v>
      </c>
      <c r="D27" s="21">
        <v>46626.48</v>
      </c>
      <c r="E27" s="21">
        <v>269037.12</v>
      </c>
      <c r="F27" s="22">
        <f t="shared" si="4"/>
        <v>315663.6</v>
      </c>
      <c r="G27" s="22">
        <v>177454.06</v>
      </c>
      <c r="H27" s="63">
        <f t="shared" si="1"/>
        <v>-138209.53999999998</v>
      </c>
      <c r="I27" s="22">
        <v>46626.48</v>
      </c>
      <c r="J27" s="22">
        <v>269037.12</v>
      </c>
      <c r="K27" s="22">
        <v>283087.86</v>
      </c>
      <c r="L27" s="58">
        <f t="shared" si="2"/>
        <v>-32575.74000000002</v>
      </c>
      <c r="M27" s="24"/>
      <c r="N27" s="24"/>
      <c r="O27" s="24"/>
      <c r="P27" s="24"/>
      <c r="Q27" s="24"/>
    </row>
    <row r="28" spans="1:17" s="25" customFormat="1" ht="12">
      <c r="A28" s="15">
        <v>6</v>
      </c>
      <c r="B28" s="15" t="s">
        <v>79</v>
      </c>
      <c r="C28" s="36" t="s">
        <v>34</v>
      </c>
      <c r="D28" s="21">
        <v>0</v>
      </c>
      <c r="E28" s="21">
        <v>6947.41</v>
      </c>
      <c r="F28" s="22">
        <f t="shared" si="4"/>
        <v>6947.41</v>
      </c>
      <c r="G28" s="22">
        <v>6193.37</v>
      </c>
      <c r="H28" s="63">
        <f t="shared" si="1"/>
        <v>-754.04</v>
      </c>
      <c r="I28" s="22">
        <v>0</v>
      </c>
      <c r="J28" s="22">
        <v>6947.41</v>
      </c>
      <c r="K28" s="22">
        <v>1448</v>
      </c>
      <c r="L28" s="58">
        <f t="shared" si="2"/>
        <v>-5499.41</v>
      </c>
      <c r="M28" s="24"/>
      <c r="N28" s="24"/>
      <c r="O28" s="24"/>
      <c r="P28" s="24"/>
      <c r="Q28" s="24"/>
    </row>
    <row r="29" spans="1:17" s="25" customFormat="1" ht="12">
      <c r="A29" s="15"/>
      <c r="B29" s="15"/>
      <c r="C29" s="36"/>
      <c r="D29" s="21"/>
      <c r="E29" s="21"/>
      <c r="F29" s="22"/>
      <c r="G29" s="22"/>
      <c r="H29" s="63"/>
      <c r="I29" s="22"/>
      <c r="J29" s="22"/>
      <c r="K29" s="22"/>
      <c r="L29" s="58"/>
      <c r="M29" s="24"/>
      <c r="N29" s="24"/>
      <c r="O29" s="24"/>
      <c r="P29" s="24"/>
      <c r="Q29" s="24"/>
    </row>
    <row r="30" spans="1:17" s="25" customFormat="1" ht="12">
      <c r="A30" s="15"/>
      <c r="B30" s="15"/>
      <c r="C30" s="36"/>
      <c r="D30" s="21"/>
      <c r="E30" s="21"/>
      <c r="F30" s="22">
        <f t="shared" si="4"/>
        <v>0</v>
      </c>
      <c r="G30" s="22"/>
      <c r="H30" s="63">
        <f t="shared" si="1"/>
        <v>0</v>
      </c>
      <c r="I30" s="22"/>
      <c r="J30" s="22"/>
      <c r="K30" s="22"/>
      <c r="L30" s="58">
        <f t="shared" si="2"/>
        <v>0</v>
      </c>
      <c r="M30" s="24"/>
      <c r="N30" s="24"/>
      <c r="O30" s="24"/>
      <c r="P30" s="24"/>
      <c r="Q30" s="24"/>
    </row>
    <row r="31" spans="1:17" s="42" customFormat="1" ht="12">
      <c r="A31" s="32"/>
      <c r="B31" s="39" t="s">
        <v>50</v>
      </c>
      <c r="C31" s="39"/>
      <c r="D31" s="40">
        <f>D22+D24+D25+D26+D27+D28</f>
        <v>249038.19000000003</v>
      </c>
      <c r="E31" s="40">
        <f aca="true" t="shared" si="5" ref="E31:L31">E22+E24+E25+E26+E27+E28</f>
        <v>2168358.0400000005</v>
      </c>
      <c r="F31" s="40">
        <f t="shared" si="5"/>
        <v>2417396.23</v>
      </c>
      <c r="G31" s="40">
        <f t="shared" si="5"/>
        <v>2109167.6200000006</v>
      </c>
      <c r="H31" s="60">
        <f t="shared" si="5"/>
        <v>-308228.61000000004</v>
      </c>
      <c r="I31" s="40">
        <f t="shared" si="5"/>
        <v>357704.3</v>
      </c>
      <c r="J31" s="40">
        <f t="shared" si="5"/>
        <v>1914176.8499999999</v>
      </c>
      <c r="K31" s="40">
        <f t="shared" si="5"/>
        <v>2065783.85</v>
      </c>
      <c r="L31" s="60">
        <f t="shared" si="5"/>
        <v>-206097.3</v>
      </c>
      <c r="M31" s="41"/>
      <c r="N31" s="41"/>
      <c r="O31" s="41"/>
      <c r="P31" s="41"/>
      <c r="Q31" s="41"/>
    </row>
    <row r="32" spans="1:17" s="35" customFormat="1" ht="12">
      <c r="A32" s="26"/>
      <c r="B32" s="38"/>
      <c r="C32" s="38"/>
      <c r="D32" s="38"/>
      <c r="E32" s="38"/>
      <c r="F32" s="22"/>
      <c r="G32" s="22"/>
      <c r="H32" s="63"/>
      <c r="I32" s="22"/>
      <c r="J32" s="22"/>
      <c r="K32" s="22"/>
      <c r="L32" s="58">
        <f t="shared" si="2"/>
        <v>0</v>
      </c>
      <c r="M32" s="34"/>
      <c r="N32" s="34"/>
      <c r="O32" s="34"/>
      <c r="P32" s="34"/>
      <c r="Q32" s="34"/>
    </row>
    <row r="33" spans="1:12" s="45" customFormat="1" ht="12">
      <c r="A33" s="43"/>
      <c r="B33" s="31" t="s">
        <v>51</v>
      </c>
      <c r="C33" s="31"/>
      <c r="D33" s="44">
        <f>SUM(D34:D38)</f>
        <v>0</v>
      </c>
      <c r="E33" s="44">
        <f>SUM(E34:E38)</f>
        <v>0</v>
      </c>
      <c r="F33" s="44">
        <f>SUM(F34:F38)</f>
        <v>0</v>
      </c>
      <c r="G33" s="44">
        <f>SUM(G34:G38)</f>
        <v>0</v>
      </c>
      <c r="H33" s="61">
        <f>SUM(H34:H38)</f>
        <v>0</v>
      </c>
      <c r="I33" s="44">
        <f>SUM(I34:I44)</f>
        <v>20124</v>
      </c>
      <c r="J33" s="44">
        <f>SUM(J34:J44)</f>
        <v>63756.82000000001</v>
      </c>
      <c r="K33" s="44">
        <f>SUM(K34:K44)</f>
        <v>62023.46000000001</v>
      </c>
      <c r="L33" s="61">
        <f>SUM(L34:L44)</f>
        <v>-21857.36</v>
      </c>
    </row>
    <row r="34" spans="1:12" ht="12.75" customHeight="1">
      <c r="A34" s="15">
        <v>1</v>
      </c>
      <c r="B34" s="46" t="s">
        <v>80</v>
      </c>
      <c r="C34" s="15" t="s">
        <v>81</v>
      </c>
      <c r="D34" s="15"/>
      <c r="E34" s="15"/>
      <c r="F34" s="47"/>
      <c r="G34" s="47"/>
      <c r="H34" s="62"/>
      <c r="I34" s="47">
        <v>17132</v>
      </c>
      <c r="J34" s="47"/>
      <c r="K34" s="47"/>
      <c r="L34" s="58">
        <f t="shared" si="2"/>
        <v>-17132</v>
      </c>
    </row>
    <row r="35" spans="1:12" ht="12">
      <c r="A35" s="15">
        <v>2</v>
      </c>
      <c r="B35" s="46" t="s">
        <v>72</v>
      </c>
      <c r="C35" s="46" t="s">
        <v>53</v>
      </c>
      <c r="D35" s="46"/>
      <c r="E35" s="46"/>
      <c r="F35" s="47"/>
      <c r="G35" s="47"/>
      <c r="H35" s="62"/>
      <c r="I35" s="47">
        <v>2992</v>
      </c>
      <c r="J35" s="47">
        <v>20944</v>
      </c>
      <c r="K35" s="47">
        <v>20944</v>
      </c>
      <c r="L35" s="58">
        <f t="shared" si="2"/>
        <v>-2992</v>
      </c>
    </row>
    <row r="36" spans="1:12" ht="24">
      <c r="A36" s="15">
        <v>3</v>
      </c>
      <c r="B36" s="46" t="s">
        <v>54</v>
      </c>
      <c r="C36" s="46" t="s">
        <v>107</v>
      </c>
      <c r="D36" s="46"/>
      <c r="E36" s="46"/>
      <c r="F36" s="47"/>
      <c r="G36" s="47"/>
      <c r="H36" s="62"/>
      <c r="I36" s="47">
        <v>0</v>
      </c>
      <c r="J36" s="47">
        <v>9250</v>
      </c>
      <c r="K36" s="47">
        <v>9250</v>
      </c>
      <c r="L36" s="58">
        <f t="shared" si="2"/>
        <v>0</v>
      </c>
    </row>
    <row r="37" spans="1:12" ht="12">
      <c r="A37" s="15">
        <v>4</v>
      </c>
      <c r="B37" s="46" t="s">
        <v>56</v>
      </c>
      <c r="C37" s="46" t="s">
        <v>105</v>
      </c>
      <c r="D37" s="46"/>
      <c r="E37" s="46"/>
      <c r="F37" s="47"/>
      <c r="G37" s="47"/>
      <c r="H37" s="62"/>
      <c r="I37" s="47">
        <v>0</v>
      </c>
      <c r="J37" s="47">
        <v>18000</v>
      </c>
      <c r="K37" s="47">
        <v>18000</v>
      </c>
      <c r="L37" s="58">
        <f t="shared" si="2"/>
        <v>0</v>
      </c>
    </row>
    <row r="38" spans="1:12" ht="12">
      <c r="A38" s="15">
        <v>5</v>
      </c>
      <c r="B38" s="46" t="s">
        <v>78</v>
      </c>
      <c r="C38" s="46" t="s">
        <v>82</v>
      </c>
      <c r="D38" s="46"/>
      <c r="E38" s="46"/>
      <c r="F38" s="47"/>
      <c r="G38" s="47"/>
      <c r="H38" s="62"/>
      <c r="I38" s="47">
        <v>0</v>
      </c>
      <c r="J38" s="47">
        <v>13122.3</v>
      </c>
      <c r="K38" s="47">
        <v>13122.3</v>
      </c>
      <c r="L38" s="58">
        <f>K38-I38-J38</f>
        <v>0</v>
      </c>
    </row>
    <row r="39" spans="1:12" ht="12">
      <c r="A39" s="15">
        <v>6</v>
      </c>
      <c r="B39" s="46" t="s">
        <v>110</v>
      </c>
      <c r="C39" s="46" t="s">
        <v>34</v>
      </c>
      <c r="D39" s="46"/>
      <c r="E39" s="46"/>
      <c r="F39" s="47"/>
      <c r="G39" s="47"/>
      <c r="H39" s="62"/>
      <c r="I39" s="47">
        <v>0</v>
      </c>
      <c r="J39" s="47">
        <v>1733.36</v>
      </c>
      <c r="K39" s="47"/>
      <c r="L39" s="58">
        <f>K39-I39-J39</f>
        <v>-1733.36</v>
      </c>
    </row>
    <row r="40" spans="1:12" ht="12">
      <c r="A40" s="15">
        <v>7</v>
      </c>
      <c r="B40" s="46" t="s">
        <v>108</v>
      </c>
      <c r="C40" s="46" t="s">
        <v>47</v>
      </c>
      <c r="D40" s="46"/>
      <c r="E40" s="46"/>
      <c r="F40" s="47"/>
      <c r="G40" s="47"/>
      <c r="H40" s="62"/>
      <c r="I40" s="47">
        <v>0</v>
      </c>
      <c r="J40" s="47">
        <v>707.16</v>
      </c>
      <c r="K40" s="47">
        <v>707.16</v>
      </c>
      <c r="L40" s="58">
        <f>K40-I40-J40</f>
        <v>0</v>
      </c>
    </row>
    <row r="41" spans="1:12" ht="12">
      <c r="A41" s="15"/>
      <c r="B41" s="46"/>
      <c r="C41" s="46"/>
      <c r="D41" s="46"/>
      <c r="E41" s="46"/>
      <c r="F41" s="47"/>
      <c r="G41" s="47"/>
      <c r="H41" s="62"/>
      <c r="I41" s="47"/>
      <c r="J41" s="47"/>
      <c r="K41" s="47"/>
      <c r="L41" s="58"/>
    </row>
    <row r="42" spans="1:12" ht="12">
      <c r="A42" s="15"/>
      <c r="B42" s="46"/>
      <c r="C42" s="46"/>
      <c r="D42" s="46"/>
      <c r="E42" s="46"/>
      <c r="F42" s="47"/>
      <c r="G42" s="47"/>
      <c r="H42" s="62"/>
      <c r="I42" s="47"/>
      <c r="J42" s="47"/>
      <c r="K42" s="47"/>
      <c r="L42" s="58"/>
    </row>
    <row r="43" spans="1:12" ht="12">
      <c r="A43" s="15"/>
      <c r="B43" s="46"/>
      <c r="C43" s="46"/>
      <c r="D43" s="46"/>
      <c r="E43" s="46"/>
      <c r="F43" s="47"/>
      <c r="G43" s="47"/>
      <c r="H43" s="62"/>
      <c r="I43" s="47"/>
      <c r="J43" s="47"/>
      <c r="K43" s="47"/>
      <c r="L43" s="58"/>
    </row>
    <row r="44" spans="1:12" ht="12.75" customHeight="1">
      <c r="A44" s="16"/>
      <c r="B44" s="15"/>
      <c r="C44" s="15"/>
      <c r="D44" s="15"/>
      <c r="E44" s="15"/>
      <c r="F44" s="47"/>
      <c r="G44" s="47"/>
      <c r="H44" s="62"/>
      <c r="I44" s="47"/>
      <c r="J44" s="47"/>
      <c r="K44" s="47"/>
      <c r="L44" s="58">
        <f t="shared" si="2"/>
        <v>0</v>
      </c>
    </row>
    <row r="45" spans="1:12" s="45" customFormat="1" ht="12.75" customHeight="1">
      <c r="A45" s="43"/>
      <c r="B45" s="31" t="s">
        <v>59</v>
      </c>
      <c r="C45" s="31"/>
      <c r="D45" s="44">
        <f aca="true" t="shared" si="6" ref="D45:L45">D31+D33</f>
        <v>249038.19000000003</v>
      </c>
      <c r="E45" s="44">
        <f t="shared" si="6"/>
        <v>2168358.0400000005</v>
      </c>
      <c r="F45" s="44">
        <f t="shared" si="6"/>
        <v>2417396.23</v>
      </c>
      <c r="G45" s="44">
        <f t="shared" si="6"/>
        <v>2109167.6200000006</v>
      </c>
      <c r="H45" s="61">
        <f t="shared" si="6"/>
        <v>-308228.61000000004</v>
      </c>
      <c r="I45" s="44">
        <f t="shared" si="6"/>
        <v>377828.3</v>
      </c>
      <c r="J45" s="44">
        <f t="shared" si="6"/>
        <v>1977933.67</v>
      </c>
      <c r="K45" s="44">
        <f>K31+K33</f>
        <v>2127807.31</v>
      </c>
      <c r="L45" s="61">
        <f t="shared" si="6"/>
        <v>-227954.65999999997</v>
      </c>
    </row>
    <row r="46" spans="1:12" ht="12">
      <c r="A46" s="16"/>
      <c r="B46" s="15"/>
      <c r="C46" s="50"/>
      <c r="D46" s="50"/>
      <c r="E46" s="50"/>
      <c r="F46" s="22"/>
      <c r="G46" s="22"/>
      <c r="H46" s="63"/>
      <c r="I46" s="22"/>
      <c r="J46" s="22"/>
      <c r="K46" s="22"/>
      <c r="L46" s="58"/>
    </row>
    <row r="47" spans="1:12" ht="12">
      <c r="A47" s="16"/>
      <c r="B47" s="15" t="s">
        <v>62</v>
      </c>
      <c r="C47" s="50"/>
      <c r="D47" s="50"/>
      <c r="E47" s="50"/>
      <c r="F47" s="22"/>
      <c r="G47" s="22">
        <v>71412.69</v>
      </c>
      <c r="H47" s="63"/>
      <c r="I47" s="22"/>
      <c r="J47" s="22"/>
      <c r="K47" s="22"/>
      <c r="L47" s="58"/>
    </row>
    <row r="48" spans="1:12" ht="12">
      <c r="A48" s="16"/>
      <c r="B48" s="15"/>
      <c r="C48" s="50"/>
      <c r="D48" s="50"/>
      <c r="E48" s="50"/>
      <c r="F48" s="22"/>
      <c r="G48" s="22"/>
      <c r="H48" s="63"/>
      <c r="I48" s="22"/>
      <c r="J48" s="22"/>
      <c r="K48" s="22"/>
      <c r="L48" s="58"/>
    </row>
    <row r="49" spans="1:12" ht="12">
      <c r="A49" s="16"/>
      <c r="B49" s="48"/>
      <c r="C49" s="29"/>
      <c r="D49" s="29"/>
      <c r="E49" s="29"/>
      <c r="F49" s="47"/>
      <c r="G49" s="47"/>
      <c r="H49" s="62"/>
      <c r="I49" s="47"/>
      <c r="J49" s="47"/>
      <c r="K49" s="47"/>
      <c r="L49" s="62"/>
    </row>
    <row r="50" spans="1:12" s="45" customFormat="1" ht="12">
      <c r="A50" s="43"/>
      <c r="B50" s="52"/>
      <c r="C50" s="53"/>
      <c r="D50" s="44">
        <f>D45+D47</f>
        <v>249038.19000000003</v>
      </c>
      <c r="E50" s="44">
        <f aca="true" t="shared" si="7" ref="E50:L50">E45+E47</f>
        <v>2168358.0400000005</v>
      </c>
      <c r="F50" s="44">
        <f t="shared" si="7"/>
        <v>2417396.23</v>
      </c>
      <c r="G50" s="44">
        <f t="shared" si="7"/>
        <v>2180580.3100000005</v>
      </c>
      <c r="H50" s="61">
        <f t="shared" si="7"/>
        <v>-308228.61000000004</v>
      </c>
      <c r="I50" s="44">
        <f t="shared" si="7"/>
        <v>377828.3</v>
      </c>
      <c r="J50" s="44">
        <f t="shared" si="7"/>
        <v>1977933.67</v>
      </c>
      <c r="K50" s="44">
        <f t="shared" si="7"/>
        <v>2127807.31</v>
      </c>
      <c r="L50" s="61">
        <f t="shared" si="7"/>
        <v>-227954.65999999997</v>
      </c>
    </row>
    <row r="51" spans="9:11" ht="12">
      <c r="I51" s="4" t="s">
        <v>64</v>
      </c>
      <c r="K51" s="4">
        <v>0</v>
      </c>
    </row>
    <row r="52" spans="2:11" ht="12">
      <c r="B52" s="2"/>
      <c r="C52" s="5"/>
      <c r="I52" s="4" t="s">
        <v>65</v>
      </c>
      <c r="K52" s="4">
        <v>52773</v>
      </c>
    </row>
    <row r="53" spans="2:11" ht="12">
      <c r="B53" s="2" t="s">
        <v>66</v>
      </c>
      <c r="C53" s="5" t="s">
        <v>67</v>
      </c>
      <c r="D53" s="3" t="s">
        <v>68</v>
      </c>
      <c r="K53" s="4">
        <f>G50-K50-K52</f>
        <v>4.656612873077393E-10</v>
      </c>
    </row>
    <row r="54" spans="1:4" ht="12">
      <c r="A54" s="54"/>
      <c r="B54" s="2" t="s">
        <v>69</v>
      </c>
      <c r="C54" s="5" t="s">
        <v>67</v>
      </c>
      <c r="D54" s="3" t="s">
        <v>70</v>
      </c>
    </row>
  </sheetData>
  <mergeCells count="5">
    <mergeCell ref="I4:L4"/>
    <mergeCell ref="A4:A5"/>
    <mergeCell ref="B4:B5"/>
    <mergeCell ref="C4:C5"/>
    <mergeCell ref="D4:H4"/>
  </mergeCells>
  <printOptions/>
  <pageMargins left="0.23" right="0.16" top="0.36" bottom="0.42" header="0.5" footer="0.5"/>
  <pageSetup horizontalDpi="600" verticalDpi="600" orientation="landscape" paperSize="9" scale="70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pane xSplit="3" ySplit="5" topLeftCell="H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44" sqref="C44"/>
    </sheetView>
  </sheetViews>
  <sheetFormatPr defaultColWidth="9.00390625" defaultRowHeight="12.75"/>
  <cols>
    <col min="1" max="1" width="4.75390625" style="1" customWidth="1"/>
    <col min="2" max="2" width="41.625" style="6" customWidth="1"/>
    <col min="3" max="3" width="21.875" style="3" customWidth="1"/>
    <col min="4" max="4" width="14.75390625" style="3" customWidth="1"/>
    <col min="5" max="5" width="14.375" style="3" customWidth="1"/>
    <col min="6" max="6" width="15.25390625" style="4" customWidth="1"/>
    <col min="7" max="11" width="14.875" style="4" customWidth="1"/>
    <col min="12" max="12" width="15.625" style="4" customWidth="1"/>
    <col min="13" max="16384" width="9.125" style="1" customWidth="1"/>
  </cols>
  <sheetData>
    <row r="1" ht="12">
      <c r="B1" s="2" t="s">
        <v>84</v>
      </c>
    </row>
    <row r="2" spans="2:5" ht="12">
      <c r="B2" s="2" t="s">
        <v>85</v>
      </c>
      <c r="C2" s="5"/>
      <c r="D2" s="5"/>
      <c r="E2" s="5"/>
    </row>
    <row r="4" spans="1:12" s="7" customFormat="1" ht="12.75" customHeight="1">
      <c r="A4" s="78" t="s">
        <v>0</v>
      </c>
      <c r="B4" s="80" t="s">
        <v>1</v>
      </c>
      <c r="C4" s="82" t="s">
        <v>2</v>
      </c>
      <c r="D4" s="75" t="s">
        <v>3</v>
      </c>
      <c r="E4" s="76"/>
      <c r="F4" s="76"/>
      <c r="G4" s="76"/>
      <c r="H4" s="77"/>
      <c r="I4" s="75" t="s">
        <v>4</v>
      </c>
      <c r="J4" s="76"/>
      <c r="K4" s="76"/>
      <c r="L4" s="77"/>
    </row>
    <row r="5" spans="1:12" s="7" customFormat="1" ht="51" customHeight="1">
      <c r="A5" s="79"/>
      <c r="B5" s="81"/>
      <c r="C5" s="83"/>
      <c r="D5" s="11" t="s">
        <v>5</v>
      </c>
      <c r="E5" s="11" t="s">
        <v>111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</row>
    <row r="6" spans="1:12" s="7" customFormat="1" ht="15" customHeight="1">
      <c r="A6" s="8"/>
      <c r="B6" s="9" t="s">
        <v>14</v>
      </c>
      <c r="C6" s="10">
        <v>3952.2</v>
      </c>
      <c r="D6" s="11"/>
      <c r="E6" s="11"/>
      <c r="F6" s="12"/>
      <c r="G6" s="12"/>
      <c r="H6" s="12"/>
      <c r="I6" s="9"/>
      <c r="J6" s="9"/>
      <c r="K6" s="9"/>
      <c r="L6" s="9"/>
    </row>
    <row r="7" spans="1:12" s="7" customFormat="1" ht="12">
      <c r="A7" s="13"/>
      <c r="B7" s="12" t="s">
        <v>15</v>
      </c>
      <c r="C7" s="11">
        <v>126</v>
      </c>
      <c r="D7" s="11"/>
      <c r="E7" s="11"/>
      <c r="F7" s="14"/>
      <c r="G7" s="14"/>
      <c r="H7" s="14"/>
      <c r="I7" s="14"/>
      <c r="J7" s="14"/>
      <c r="K7" s="14"/>
      <c r="L7" s="14"/>
    </row>
    <row r="8" spans="1:12" s="7" customFormat="1" ht="12">
      <c r="A8" s="15">
        <v>1</v>
      </c>
      <c r="B8" s="15" t="s">
        <v>16</v>
      </c>
      <c r="C8" s="11"/>
      <c r="D8" s="11"/>
      <c r="E8" s="11"/>
      <c r="F8" s="14"/>
      <c r="G8" s="14"/>
      <c r="H8" s="14"/>
      <c r="I8" s="14"/>
      <c r="J8" s="14"/>
      <c r="K8" s="14"/>
      <c r="L8" s="14"/>
    </row>
    <row r="9" spans="1:12" s="7" customFormat="1" ht="12">
      <c r="A9" s="16"/>
      <c r="B9" s="16"/>
      <c r="C9" s="11"/>
      <c r="D9" s="11"/>
      <c r="E9" s="11"/>
      <c r="F9" s="14"/>
      <c r="G9" s="14"/>
      <c r="H9" s="14"/>
      <c r="I9" s="14"/>
      <c r="J9" s="14"/>
      <c r="K9" s="14"/>
      <c r="L9" s="14"/>
    </row>
    <row r="10" spans="1:17" s="25" customFormat="1" ht="12">
      <c r="A10" s="18" t="s">
        <v>17</v>
      </c>
      <c r="B10" s="19" t="s">
        <v>18</v>
      </c>
      <c r="C10" s="20" t="s">
        <v>19</v>
      </c>
      <c r="D10" s="21"/>
      <c r="E10" s="21">
        <f>431689.48*57.58%</f>
        <v>248566.802584</v>
      </c>
      <c r="F10" s="22">
        <f>D10+E10</f>
        <v>248566.802584</v>
      </c>
      <c r="G10" s="22">
        <f>'[1]приход'!F8</f>
        <v>136784.796622</v>
      </c>
      <c r="H10" s="63">
        <f>G10-F10</f>
        <v>-111782.005962</v>
      </c>
      <c r="I10" s="22">
        <v>0</v>
      </c>
      <c r="J10" s="22">
        <v>383748.74</v>
      </c>
      <c r="K10" s="22"/>
      <c r="L10" s="58">
        <f>K10-J10</f>
        <v>-383748.74</v>
      </c>
      <c r="M10" s="24"/>
      <c r="N10" s="24"/>
      <c r="O10" s="24"/>
      <c r="P10" s="24"/>
      <c r="Q10" s="24"/>
    </row>
    <row r="11" spans="1:17" s="25" customFormat="1" ht="12">
      <c r="A11" s="26" t="s">
        <v>20</v>
      </c>
      <c r="B11" s="27" t="s">
        <v>21</v>
      </c>
      <c r="C11" s="20" t="s">
        <v>22</v>
      </c>
      <c r="D11" s="21"/>
      <c r="E11" s="21">
        <f>431689.48*2.69%</f>
        <v>11612.447011999999</v>
      </c>
      <c r="F11" s="22">
        <f aca="true" t="shared" si="0" ref="F11:F20">D11+E11</f>
        <v>11612.447011999999</v>
      </c>
      <c r="G11" s="22">
        <f>'[1]приход'!F9</f>
        <v>6390.258821</v>
      </c>
      <c r="H11" s="63">
        <f aca="true" t="shared" si="1" ref="H11:H29">G11-F11</f>
        <v>-5222.188190999998</v>
      </c>
      <c r="I11" s="22"/>
      <c r="J11" s="22">
        <f>3952.2*1.52*2</f>
        <v>12014.688</v>
      </c>
      <c r="K11" s="22">
        <v>12014.69</v>
      </c>
      <c r="L11" s="58">
        <v>0</v>
      </c>
      <c r="M11" s="24"/>
      <c r="N11" s="24"/>
      <c r="O11" s="24"/>
      <c r="P11" s="24"/>
      <c r="Q11" s="24"/>
    </row>
    <row r="12" spans="1:17" s="25" customFormat="1" ht="12">
      <c r="A12" s="26" t="s">
        <v>23</v>
      </c>
      <c r="B12" s="27" t="s">
        <v>24</v>
      </c>
      <c r="C12" s="20" t="s">
        <v>22</v>
      </c>
      <c r="D12" s="21"/>
      <c r="E12" s="21">
        <f>431689.48*5.51%</f>
        <v>23786.090347999998</v>
      </c>
      <c r="F12" s="22">
        <f t="shared" si="0"/>
        <v>23786.090347999998</v>
      </c>
      <c r="G12" s="22">
        <f>'[1]приход'!F10</f>
        <v>13089.340559</v>
      </c>
      <c r="H12" s="63">
        <f t="shared" si="1"/>
        <v>-10696.749788999998</v>
      </c>
      <c r="I12" s="22"/>
      <c r="J12" s="22">
        <f>3952.2*3.11*2</f>
        <v>24582.683999999997</v>
      </c>
      <c r="K12" s="22">
        <v>24582.68</v>
      </c>
      <c r="L12" s="58">
        <v>0</v>
      </c>
      <c r="M12" s="24"/>
      <c r="N12" s="24"/>
      <c r="O12" s="24"/>
      <c r="P12" s="24"/>
      <c r="Q12" s="24"/>
    </row>
    <row r="13" spans="1:17" s="25" customFormat="1" ht="12">
      <c r="A13" s="28" t="s">
        <v>25</v>
      </c>
      <c r="B13" s="19" t="s">
        <v>26</v>
      </c>
      <c r="C13" s="29" t="s">
        <v>22</v>
      </c>
      <c r="D13" s="21"/>
      <c r="E13" s="21">
        <f>431689.48*3.49%</f>
        <v>15065.962851999999</v>
      </c>
      <c r="F13" s="22">
        <f t="shared" si="0"/>
        <v>15065.962851999999</v>
      </c>
      <c r="G13" s="22">
        <f>'[1]приход'!F11</f>
        <v>8290.707541</v>
      </c>
      <c r="H13" s="63">
        <f t="shared" si="1"/>
        <v>-6775.255310999999</v>
      </c>
      <c r="I13" s="22"/>
      <c r="J13" s="22">
        <v>29120</v>
      </c>
      <c r="K13" s="22"/>
      <c r="L13" s="58">
        <f aca="true" t="shared" si="2" ref="L13:L44">K13-J13</f>
        <v>-29120</v>
      </c>
      <c r="M13" s="24"/>
      <c r="N13" s="24"/>
      <c r="O13" s="24"/>
      <c r="P13" s="24"/>
      <c r="Q13" s="24"/>
    </row>
    <row r="14" spans="1:17" s="25" customFormat="1" ht="12">
      <c r="A14" s="26" t="s">
        <v>28</v>
      </c>
      <c r="B14" s="30" t="s">
        <v>29</v>
      </c>
      <c r="C14" s="20" t="s">
        <v>22</v>
      </c>
      <c r="D14" s="21"/>
      <c r="E14" s="21">
        <f>431689.48*2.41%</f>
        <v>10403.716467999999</v>
      </c>
      <c r="F14" s="22">
        <f t="shared" si="0"/>
        <v>10403.716467999999</v>
      </c>
      <c r="G14" s="22">
        <f>'[1]приход'!F12</f>
        <v>5725.101769</v>
      </c>
      <c r="H14" s="63">
        <f t="shared" si="1"/>
        <v>-4678.614698999999</v>
      </c>
      <c r="I14" s="22"/>
      <c r="J14" s="22">
        <f>3952.2*1.36*2</f>
        <v>10749.984</v>
      </c>
      <c r="K14" s="22">
        <v>10749.98</v>
      </c>
      <c r="L14" s="23">
        <v>0</v>
      </c>
      <c r="M14" s="24"/>
      <c r="N14" s="24"/>
      <c r="O14" s="24"/>
      <c r="P14" s="24"/>
      <c r="Q14" s="24"/>
    </row>
    <row r="15" spans="1:17" s="25" customFormat="1" ht="12">
      <c r="A15" s="26" t="s">
        <v>30</v>
      </c>
      <c r="B15" s="30" t="s">
        <v>31</v>
      </c>
      <c r="C15" s="20" t="s">
        <v>22</v>
      </c>
      <c r="D15" s="21"/>
      <c r="E15" s="21">
        <f>431689.48*15.82%</f>
        <v>68293.275736</v>
      </c>
      <c r="F15" s="22">
        <f t="shared" si="0"/>
        <v>68293.275736</v>
      </c>
      <c r="G15" s="22">
        <f>'[1]приход'!F13</f>
        <v>37581.373438</v>
      </c>
      <c r="H15" s="63">
        <f t="shared" si="1"/>
        <v>-30711.902297999994</v>
      </c>
      <c r="I15" s="22"/>
      <c r="J15" s="22">
        <f>3952.2*8.93*2</f>
        <v>70586.292</v>
      </c>
      <c r="K15" s="22">
        <f>70586.29+181831.8</f>
        <v>252418.08999999997</v>
      </c>
      <c r="L15" s="23">
        <f t="shared" si="2"/>
        <v>181831.79799999995</v>
      </c>
      <c r="M15" s="24"/>
      <c r="N15" s="24"/>
      <c r="O15" s="24"/>
      <c r="P15" s="24"/>
      <c r="Q15" s="24"/>
    </row>
    <row r="16" spans="1:17" s="25" customFormat="1" ht="12">
      <c r="A16" s="28" t="s">
        <v>32</v>
      </c>
      <c r="B16" s="19" t="s">
        <v>75</v>
      </c>
      <c r="C16" s="20" t="s">
        <v>76</v>
      </c>
      <c r="D16" s="21"/>
      <c r="E16" s="21">
        <f>431689.48*6.35%</f>
        <v>27412.28198</v>
      </c>
      <c r="F16" s="22">
        <f t="shared" si="0"/>
        <v>27412.28198</v>
      </c>
      <c r="G16" s="22">
        <f>'[1]приход'!F14</f>
        <v>15084.811715</v>
      </c>
      <c r="H16" s="63">
        <f t="shared" si="1"/>
        <v>-12327.470265</v>
      </c>
      <c r="I16" s="22"/>
      <c r="J16" s="22"/>
      <c r="K16" s="22"/>
      <c r="L16" s="23">
        <f t="shared" si="2"/>
        <v>0</v>
      </c>
      <c r="M16" s="24"/>
      <c r="N16" s="24"/>
      <c r="O16" s="24"/>
      <c r="P16" s="24"/>
      <c r="Q16" s="24"/>
    </row>
    <row r="17" spans="1:17" s="25" customFormat="1" ht="12">
      <c r="A17" s="28" t="s">
        <v>35</v>
      </c>
      <c r="B17" s="19" t="s">
        <v>33</v>
      </c>
      <c r="C17" s="20" t="s">
        <v>34</v>
      </c>
      <c r="D17" s="21"/>
      <c r="E17" s="21">
        <f>431689.48*0.69%</f>
        <v>2978.657412</v>
      </c>
      <c r="F17" s="22">
        <f t="shared" si="0"/>
        <v>2978.657412</v>
      </c>
      <c r="G17" s="22">
        <f>'[1]приход'!F15</f>
        <v>1639.137021</v>
      </c>
      <c r="H17" s="63">
        <f t="shared" si="1"/>
        <v>-1339.520391</v>
      </c>
      <c r="I17" s="22"/>
      <c r="J17" s="22"/>
      <c r="K17" s="22"/>
      <c r="L17" s="23">
        <f t="shared" si="2"/>
        <v>0</v>
      </c>
      <c r="M17" s="24"/>
      <c r="N17" s="24"/>
      <c r="O17" s="24"/>
      <c r="P17" s="24"/>
      <c r="Q17" s="24"/>
    </row>
    <row r="18" spans="1:17" s="25" customFormat="1" ht="12" hidden="1">
      <c r="A18" s="28"/>
      <c r="B18" s="19"/>
      <c r="C18" s="20"/>
      <c r="D18" s="21"/>
      <c r="E18" s="21"/>
      <c r="F18" s="22"/>
      <c r="G18" s="22"/>
      <c r="H18" s="63"/>
      <c r="I18" s="22"/>
      <c r="J18" s="22"/>
      <c r="K18" s="22"/>
      <c r="L18" s="23"/>
      <c r="M18" s="24"/>
      <c r="N18" s="24"/>
      <c r="O18" s="24"/>
      <c r="P18" s="24"/>
      <c r="Q18" s="24"/>
    </row>
    <row r="19" spans="1:17" s="25" customFormat="1" ht="12">
      <c r="A19" s="28" t="s">
        <v>86</v>
      </c>
      <c r="B19" s="19" t="s">
        <v>38</v>
      </c>
      <c r="C19" s="29" t="s">
        <v>34</v>
      </c>
      <c r="D19" s="21"/>
      <c r="E19" s="21">
        <f>431689.48*3.44%</f>
        <v>14850.118112</v>
      </c>
      <c r="F19" s="22">
        <f t="shared" si="0"/>
        <v>14850.118112</v>
      </c>
      <c r="G19" s="22">
        <f>'[1]приход'!F17</f>
        <v>8171.929496000001</v>
      </c>
      <c r="H19" s="63">
        <f t="shared" si="1"/>
        <v>-6678.1886159999995</v>
      </c>
      <c r="I19" s="22"/>
      <c r="J19" s="22"/>
      <c r="K19" s="22"/>
      <c r="L19" s="23">
        <f t="shared" si="2"/>
        <v>0</v>
      </c>
      <c r="M19" s="24"/>
      <c r="N19" s="24"/>
      <c r="O19" s="24"/>
      <c r="P19" s="24"/>
      <c r="Q19" s="24"/>
    </row>
    <row r="20" spans="1:17" s="25" customFormat="1" ht="11.25" customHeight="1">
      <c r="A20" s="18" t="s">
        <v>39</v>
      </c>
      <c r="B20" s="19" t="s">
        <v>40</v>
      </c>
      <c r="C20" s="20" t="s">
        <v>19</v>
      </c>
      <c r="D20" s="21"/>
      <c r="E20" s="21">
        <f>431689.48*2.02%</f>
        <v>8720.127496</v>
      </c>
      <c r="F20" s="22">
        <f t="shared" si="0"/>
        <v>8720.127496</v>
      </c>
      <c r="G20" s="22">
        <f>'[1]приход'!F18</f>
        <v>4798.6330179999995</v>
      </c>
      <c r="H20" s="63">
        <f t="shared" si="1"/>
        <v>-3921.4944779999996</v>
      </c>
      <c r="I20" s="22">
        <v>0</v>
      </c>
      <c r="J20" s="22">
        <v>2345.28</v>
      </c>
      <c r="K20" s="22"/>
      <c r="L20" s="58">
        <f t="shared" si="2"/>
        <v>-2345.28</v>
      </c>
      <c r="M20" s="24"/>
      <c r="N20" s="24"/>
      <c r="O20" s="24"/>
      <c r="P20" s="24"/>
      <c r="Q20" s="24"/>
    </row>
    <row r="21" spans="1:17" s="25" customFormat="1" ht="12">
      <c r="A21" s="28"/>
      <c r="B21" s="19"/>
      <c r="C21" s="20"/>
      <c r="D21" s="21"/>
      <c r="E21" s="21"/>
      <c r="F21" s="22"/>
      <c r="G21" s="22"/>
      <c r="H21" s="63"/>
      <c r="I21" s="22"/>
      <c r="J21" s="22"/>
      <c r="K21" s="22"/>
      <c r="L21" s="58"/>
      <c r="M21" s="24"/>
      <c r="N21" s="24"/>
      <c r="O21" s="24"/>
      <c r="P21" s="24"/>
      <c r="Q21" s="24"/>
    </row>
    <row r="22" spans="1:17" s="35" customFormat="1" ht="12">
      <c r="A22" s="31"/>
      <c r="B22" s="31" t="s">
        <v>43</v>
      </c>
      <c r="C22" s="32"/>
      <c r="D22" s="33">
        <f aca="true" t="shared" si="3" ref="D22:L22">SUM(D10:D20)</f>
        <v>0</v>
      </c>
      <c r="E22" s="33">
        <f t="shared" si="3"/>
        <v>431689.48</v>
      </c>
      <c r="F22" s="33">
        <f t="shared" si="3"/>
        <v>431689.48</v>
      </c>
      <c r="G22" s="33">
        <f t="shared" si="3"/>
        <v>237556.09</v>
      </c>
      <c r="H22" s="59">
        <f t="shared" si="3"/>
        <v>-194133.38999999998</v>
      </c>
      <c r="I22" s="33">
        <f t="shared" si="3"/>
        <v>0</v>
      </c>
      <c r="J22" s="33">
        <f t="shared" si="3"/>
        <v>533147.6680000001</v>
      </c>
      <c r="K22" s="33">
        <f t="shared" si="3"/>
        <v>299765.43999999994</v>
      </c>
      <c r="L22" s="59">
        <f t="shared" si="3"/>
        <v>-233382.22200000004</v>
      </c>
      <c r="M22" s="34"/>
      <c r="N22" s="34"/>
      <c r="O22" s="34"/>
      <c r="P22" s="34"/>
      <c r="Q22" s="34"/>
    </row>
    <row r="23" spans="1:17" s="35" customFormat="1" ht="12">
      <c r="A23" s="16"/>
      <c r="B23" s="16"/>
      <c r="C23" s="20"/>
      <c r="D23" s="21"/>
      <c r="E23" s="21"/>
      <c r="F23" s="21"/>
      <c r="G23" s="21"/>
      <c r="H23" s="64"/>
      <c r="I23" s="21"/>
      <c r="J23" s="21"/>
      <c r="K23" s="21"/>
      <c r="L23" s="64"/>
      <c r="M23" s="34"/>
      <c r="N23" s="34"/>
      <c r="O23" s="34"/>
      <c r="P23" s="34"/>
      <c r="Q23" s="34"/>
    </row>
    <row r="24" spans="1:17" s="25" customFormat="1" ht="12">
      <c r="A24" s="15">
        <v>2</v>
      </c>
      <c r="B24" s="15" t="s">
        <v>44</v>
      </c>
      <c r="C24" s="36" t="s">
        <v>45</v>
      </c>
      <c r="D24" s="21"/>
      <c r="E24" s="21">
        <v>15200.86</v>
      </c>
      <c r="F24" s="22">
        <f>D24+E24</f>
        <v>15200.86</v>
      </c>
      <c r="G24" s="22">
        <f>'[1]приход'!F22</f>
        <v>15200.86</v>
      </c>
      <c r="H24" s="63">
        <f t="shared" si="1"/>
        <v>0</v>
      </c>
      <c r="I24" s="22"/>
      <c r="J24" s="22"/>
      <c r="K24" s="22"/>
      <c r="L24" s="58"/>
      <c r="M24" s="24"/>
      <c r="N24" s="24"/>
      <c r="O24" s="24"/>
      <c r="P24" s="24"/>
      <c r="Q24" s="24"/>
    </row>
    <row r="25" spans="1:17" s="25" customFormat="1" ht="12">
      <c r="A25" s="15">
        <v>3</v>
      </c>
      <c r="B25" s="15" t="s">
        <v>46</v>
      </c>
      <c r="C25" s="36" t="s">
        <v>47</v>
      </c>
      <c r="D25" s="21"/>
      <c r="E25" s="21">
        <v>25031.04</v>
      </c>
      <c r="F25" s="22">
        <f>D25+E25</f>
        <v>25031.04</v>
      </c>
      <c r="G25" s="22">
        <f>'[1]приход'!F23</f>
        <v>21184.73</v>
      </c>
      <c r="H25" s="63">
        <f t="shared" si="1"/>
        <v>-3846.3100000000013</v>
      </c>
      <c r="I25" s="22"/>
      <c r="J25" s="22">
        <v>25031.04</v>
      </c>
      <c r="K25" s="22">
        <v>0</v>
      </c>
      <c r="L25" s="58">
        <f t="shared" si="2"/>
        <v>-25031.04</v>
      </c>
      <c r="M25" s="24"/>
      <c r="N25" s="24"/>
      <c r="O25" s="24"/>
      <c r="P25" s="24"/>
      <c r="Q25" s="24"/>
    </row>
    <row r="26" spans="1:17" s="25" customFormat="1" ht="12">
      <c r="A26" s="15">
        <v>4</v>
      </c>
      <c r="B26" s="15" t="s">
        <v>48</v>
      </c>
      <c r="C26" s="36" t="s">
        <v>45</v>
      </c>
      <c r="D26" s="21"/>
      <c r="E26" s="21">
        <v>15350.67</v>
      </c>
      <c r="F26" s="22">
        <f>D26+E26</f>
        <v>15350.67</v>
      </c>
      <c r="G26" s="22">
        <f>'[1]приход'!F24</f>
        <v>15350.67</v>
      </c>
      <c r="H26" s="63">
        <f t="shared" si="1"/>
        <v>0</v>
      </c>
      <c r="I26" s="22"/>
      <c r="J26" s="22"/>
      <c r="K26" s="22"/>
      <c r="L26" s="58">
        <f t="shared" si="2"/>
        <v>0</v>
      </c>
      <c r="M26" s="24"/>
      <c r="N26" s="24"/>
      <c r="O26" s="24"/>
      <c r="P26" s="24"/>
      <c r="Q26" s="24"/>
    </row>
    <row r="27" spans="1:17" s="25" customFormat="1" ht="11.25" customHeight="1">
      <c r="A27" s="15">
        <v>5</v>
      </c>
      <c r="B27" s="15" t="s">
        <v>78</v>
      </c>
      <c r="C27" s="36" t="s">
        <v>47</v>
      </c>
      <c r="D27" s="21"/>
      <c r="E27" s="21">
        <v>66303.02</v>
      </c>
      <c r="F27" s="22">
        <f>D27+E27</f>
        <v>66303.02</v>
      </c>
      <c r="G27" s="22">
        <f>'[1]приход'!F25</f>
        <v>63861.76</v>
      </c>
      <c r="H27" s="63">
        <f t="shared" si="1"/>
        <v>-2441.260000000002</v>
      </c>
      <c r="I27" s="22">
        <v>0</v>
      </c>
      <c r="J27" s="22">
        <f>1245.93+65057.09</f>
        <v>66303.01999999999</v>
      </c>
      <c r="K27" s="22"/>
      <c r="L27" s="58">
        <f t="shared" si="2"/>
        <v>-66303.01999999999</v>
      </c>
      <c r="M27" s="24"/>
      <c r="N27" s="24"/>
      <c r="O27" s="24"/>
      <c r="P27" s="24"/>
      <c r="Q27" s="24"/>
    </row>
    <row r="28" spans="1:17" s="25" customFormat="1" ht="0.75" customHeight="1" hidden="1">
      <c r="A28" s="15"/>
      <c r="B28" s="15"/>
      <c r="C28" s="36"/>
      <c r="D28" s="21"/>
      <c r="E28" s="21"/>
      <c r="F28" s="22"/>
      <c r="G28" s="22"/>
      <c r="H28" s="22"/>
      <c r="I28" s="22"/>
      <c r="J28" s="22"/>
      <c r="K28" s="22"/>
      <c r="L28" s="58"/>
      <c r="M28" s="24"/>
      <c r="N28" s="24"/>
      <c r="O28" s="24"/>
      <c r="P28" s="24"/>
      <c r="Q28" s="24"/>
    </row>
    <row r="29" spans="1:17" s="25" customFormat="1" ht="12">
      <c r="A29" s="15">
        <v>6</v>
      </c>
      <c r="B29" s="15" t="s">
        <v>49</v>
      </c>
      <c r="C29" s="36"/>
      <c r="D29" s="21"/>
      <c r="E29" s="21"/>
      <c r="F29" s="22">
        <f>D29+E29</f>
        <v>0</v>
      </c>
      <c r="G29" s="22">
        <f>'[1]приход'!F29</f>
        <v>25953</v>
      </c>
      <c r="H29" s="22">
        <f t="shared" si="1"/>
        <v>25953</v>
      </c>
      <c r="I29" s="22"/>
      <c r="J29" s="22"/>
      <c r="K29" s="22"/>
      <c r="L29" s="58">
        <f t="shared" si="2"/>
        <v>0</v>
      </c>
      <c r="M29" s="24"/>
      <c r="N29" s="24"/>
      <c r="O29" s="24"/>
      <c r="P29" s="24"/>
      <c r="Q29" s="24"/>
    </row>
    <row r="30" spans="1:17" s="25" customFormat="1" ht="12">
      <c r="A30" s="28"/>
      <c r="B30" s="37"/>
      <c r="C30" s="37"/>
      <c r="D30" s="38"/>
      <c r="E30" s="38"/>
      <c r="F30" s="22"/>
      <c r="G30" s="22"/>
      <c r="H30" s="22"/>
      <c r="I30" s="22"/>
      <c r="J30" s="22"/>
      <c r="K30" s="22"/>
      <c r="L30" s="58">
        <f t="shared" si="2"/>
        <v>0</v>
      </c>
      <c r="M30" s="24"/>
      <c r="N30" s="24"/>
      <c r="O30" s="24"/>
      <c r="P30" s="24"/>
      <c r="Q30" s="24"/>
    </row>
    <row r="31" spans="1:17" s="42" customFormat="1" ht="12">
      <c r="A31" s="32"/>
      <c r="B31" s="39" t="s">
        <v>50</v>
      </c>
      <c r="C31" s="39"/>
      <c r="D31" s="40">
        <f>D22+D24+D25+D26+D27+D29</f>
        <v>0</v>
      </c>
      <c r="E31" s="40">
        <f aca="true" t="shared" si="4" ref="E31:L31">E22+E24+E25+E26+E27+E29</f>
        <v>553575.07</v>
      </c>
      <c r="F31" s="40">
        <f t="shared" si="4"/>
        <v>553575.07</v>
      </c>
      <c r="G31" s="40">
        <f t="shared" si="4"/>
        <v>379107.11</v>
      </c>
      <c r="H31" s="60">
        <f t="shared" si="4"/>
        <v>-174467.96</v>
      </c>
      <c r="I31" s="40">
        <f t="shared" si="4"/>
        <v>0</v>
      </c>
      <c r="J31" s="40">
        <f t="shared" si="4"/>
        <v>624481.7280000001</v>
      </c>
      <c r="K31" s="40">
        <f t="shared" si="4"/>
        <v>299765.43999999994</v>
      </c>
      <c r="L31" s="60">
        <f t="shared" si="4"/>
        <v>-324716.282</v>
      </c>
      <c r="M31" s="41"/>
      <c r="N31" s="41"/>
      <c r="O31" s="41"/>
      <c r="P31" s="41"/>
      <c r="Q31" s="41"/>
    </row>
    <row r="32" spans="1:17" s="35" customFormat="1" ht="12">
      <c r="A32" s="26"/>
      <c r="B32" s="38"/>
      <c r="C32" s="38"/>
      <c r="D32" s="38"/>
      <c r="E32" s="38"/>
      <c r="F32" s="22"/>
      <c r="G32" s="22"/>
      <c r="H32" s="63"/>
      <c r="I32" s="22"/>
      <c r="J32" s="22"/>
      <c r="K32" s="22"/>
      <c r="L32" s="58">
        <f t="shared" si="2"/>
        <v>0</v>
      </c>
      <c r="M32" s="34"/>
      <c r="N32" s="34"/>
      <c r="O32" s="34"/>
      <c r="P32" s="34"/>
      <c r="Q32" s="34"/>
    </row>
    <row r="33" spans="1:12" s="45" customFormat="1" ht="12.75" customHeight="1">
      <c r="A33" s="43"/>
      <c r="B33" s="31" t="s">
        <v>51</v>
      </c>
      <c r="C33" s="31"/>
      <c r="D33" s="44">
        <f>SUM(D36:D44)</f>
        <v>0</v>
      </c>
      <c r="E33" s="44">
        <f>SUM(E36:E44)</f>
        <v>80042.67</v>
      </c>
      <c r="F33" s="44">
        <f>SUM(F36:F44)</f>
        <v>80042.67</v>
      </c>
      <c r="G33" s="44">
        <f>SUM(G36:G44)</f>
        <v>0</v>
      </c>
      <c r="H33" s="61">
        <f>SUM(H36:H44)</f>
        <v>-80042.67</v>
      </c>
      <c r="I33" s="44"/>
      <c r="J33" s="44">
        <f>SUM(J36:J44)</f>
        <v>84042.67</v>
      </c>
      <c r="K33" s="44">
        <f>SUM(K36:K44)</f>
        <v>4000</v>
      </c>
      <c r="L33" s="61">
        <f>SUM(L36:L44)</f>
        <v>-80042.67</v>
      </c>
    </row>
    <row r="34" spans="1:12" s="69" customFormat="1" ht="12.75" customHeight="1">
      <c r="A34" s="67"/>
      <c r="B34" s="68"/>
      <c r="C34" s="68"/>
      <c r="D34" s="57"/>
      <c r="E34" s="57"/>
      <c r="F34" s="57"/>
      <c r="G34" s="57"/>
      <c r="H34" s="74"/>
      <c r="I34" s="57"/>
      <c r="J34" s="57"/>
      <c r="K34" s="57"/>
      <c r="L34" s="74"/>
    </row>
    <row r="35" spans="1:12" s="69" customFormat="1" ht="12.75" customHeight="1">
      <c r="A35" s="67"/>
      <c r="B35" s="68"/>
      <c r="C35" s="68"/>
      <c r="D35" s="57"/>
      <c r="E35" s="57"/>
      <c r="F35" s="57"/>
      <c r="G35" s="57"/>
      <c r="H35" s="74">
        <f>G35-F35</f>
        <v>0</v>
      </c>
      <c r="I35" s="57"/>
      <c r="J35" s="57"/>
      <c r="K35" s="57"/>
      <c r="L35" s="74"/>
    </row>
    <row r="36" spans="1:12" ht="10.5" customHeight="1">
      <c r="A36" s="16">
        <v>1</v>
      </c>
      <c r="B36" s="46" t="s">
        <v>54</v>
      </c>
      <c r="C36" s="46" t="s">
        <v>55</v>
      </c>
      <c r="D36" s="46"/>
      <c r="E36" s="46"/>
      <c r="F36" s="47">
        <f>D36+E36</f>
        <v>0</v>
      </c>
      <c r="G36" s="47"/>
      <c r="H36" s="74">
        <f aca="true" t="shared" si="5" ref="H36:H43">G36-F36</f>
        <v>0</v>
      </c>
      <c r="I36" s="47">
        <v>0</v>
      </c>
      <c r="J36" s="47">
        <v>4000</v>
      </c>
      <c r="K36" s="47">
        <v>4000</v>
      </c>
      <c r="L36" s="58">
        <f t="shared" si="2"/>
        <v>0</v>
      </c>
    </row>
    <row r="37" spans="1:12" ht="11.25" customHeight="1" hidden="1">
      <c r="A37" s="16"/>
      <c r="B37" s="46"/>
      <c r="C37" s="46"/>
      <c r="D37" s="46"/>
      <c r="E37" s="46"/>
      <c r="F37" s="47">
        <f aca="true" t="shared" si="6" ref="F37:F43">D37+E37</f>
        <v>0</v>
      </c>
      <c r="G37" s="47"/>
      <c r="H37" s="74">
        <f t="shared" si="5"/>
        <v>0</v>
      </c>
      <c r="I37" s="47"/>
      <c r="J37" s="47"/>
      <c r="K37" s="47"/>
      <c r="L37" s="58"/>
    </row>
    <row r="38" spans="1:12" ht="11.25" customHeight="1" hidden="1">
      <c r="A38" s="16"/>
      <c r="B38" s="46"/>
      <c r="C38" s="46"/>
      <c r="D38" s="46"/>
      <c r="E38" s="46"/>
      <c r="F38" s="47">
        <f t="shared" si="6"/>
        <v>0</v>
      </c>
      <c r="G38" s="47"/>
      <c r="H38" s="74">
        <f t="shared" si="5"/>
        <v>0</v>
      </c>
      <c r="I38" s="47"/>
      <c r="J38" s="47"/>
      <c r="K38" s="47"/>
      <c r="L38" s="58"/>
    </row>
    <row r="39" spans="1:12" ht="11.25" customHeight="1" hidden="1">
      <c r="A39" s="16"/>
      <c r="B39" s="46"/>
      <c r="C39" s="46"/>
      <c r="D39" s="46"/>
      <c r="E39" s="46"/>
      <c r="F39" s="47">
        <f t="shared" si="6"/>
        <v>0</v>
      </c>
      <c r="G39" s="47"/>
      <c r="H39" s="74">
        <f t="shared" si="5"/>
        <v>0</v>
      </c>
      <c r="I39" s="47"/>
      <c r="J39" s="47"/>
      <c r="K39" s="47"/>
      <c r="L39" s="58"/>
    </row>
    <row r="40" spans="1:12" ht="11.25" customHeight="1" hidden="1">
      <c r="A40" s="16"/>
      <c r="B40" s="46"/>
      <c r="C40" s="46"/>
      <c r="D40" s="46"/>
      <c r="E40" s="46"/>
      <c r="F40" s="47">
        <f t="shared" si="6"/>
        <v>0</v>
      </c>
      <c r="G40" s="47"/>
      <c r="H40" s="74">
        <f t="shared" si="5"/>
        <v>0</v>
      </c>
      <c r="I40" s="47"/>
      <c r="J40" s="47"/>
      <c r="K40" s="47"/>
      <c r="L40" s="58"/>
    </row>
    <row r="41" spans="1:12" ht="12">
      <c r="A41" s="16">
        <v>2</v>
      </c>
      <c r="B41" s="46" t="s">
        <v>87</v>
      </c>
      <c r="C41" s="46" t="s">
        <v>47</v>
      </c>
      <c r="D41" s="46"/>
      <c r="E41" s="56">
        <v>54955.04</v>
      </c>
      <c r="F41" s="47">
        <f t="shared" si="6"/>
        <v>54955.04</v>
      </c>
      <c r="G41" s="47"/>
      <c r="H41" s="74">
        <f t="shared" si="5"/>
        <v>-54955.04</v>
      </c>
      <c r="I41" s="47"/>
      <c r="J41" s="47">
        <v>54955.04</v>
      </c>
      <c r="K41" s="47"/>
      <c r="L41" s="58">
        <f t="shared" si="2"/>
        <v>-54955.04</v>
      </c>
    </row>
    <row r="42" spans="1:12" ht="12">
      <c r="A42" s="16">
        <v>3</v>
      </c>
      <c r="B42" s="46" t="s">
        <v>88</v>
      </c>
      <c r="C42" s="46" t="s">
        <v>47</v>
      </c>
      <c r="D42" s="46"/>
      <c r="E42" s="56">
        <v>346.31</v>
      </c>
      <c r="F42" s="47">
        <f t="shared" si="6"/>
        <v>346.31</v>
      </c>
      <c r="G42" s="47"/>
      <c r="H42" s="74">
        <f t="shared" si="5"/>
        <v>-346.31</v>
      </c>
      <c r="I42" s="47"/>
      <c r="J42" s="47">
        <v>346.31</v>
      </c>
      <c r="K42" s="47"/>
      <c r="L42" s="58">
        <f t="shared" si="2"/>
        <v>-346.31</v>
      </c>
    </row>
    <row r="43" spans="1:12" ht="12">
      <c r="A43" s="16">
        <v>4</v>
      </c>
      <c r="B43" s="46" t="s">
        <v>89</v>
      </c>
      <c r="C43" s="46" t="s">
        <v>47</v>
      </c>
      <c r="D43" s="46"/>
      <c r="E43" s="56">
        <v>24741.32</v>
      </c>
      <c r="F43" s="47">
        <f t="shared" si="6"/>
        <v>24741.32</v>
      </c>
      <c r="G43" s="47"/>
      <c r="H43" s="74">
        <f t="shared" si="5"/>
        <v>-24741.32</v>
      </c>
      <c r="I43" s="47"/>
      <c r="J43" s="47">
        <v>24741.32</v>
      </c>
      <c r="K43" s="47"/>
      <c r="L43" s="58">
        <f t="shared" si="2"/>
        <v>-24741.32</v>
      </c>
    </row>
    <row r="44" spans="1:12" ht="12">
      <c r="A44" s="16"/>
      <c r="B44" s="46"/>
      <c r="C44" s="46"/>
      <c r="D44" s="46"/>
      <c r="E44" s="46"/>
      <c r="F44" s="47"/>
      <c r="G44" s="47"/>
      <c r="H44" s="62"/>
      <c r="I44" s="47"/>
      <c r="J44" s="47"/>
      <c r="K44" s="47"/>
      <c r="L44" s="58">
        <f t="shared" si="2"/>
        <v>0</v>
      </c>
    </row>
    <row r="45" spans="1:12" s="45" customFormat="1" ht="12">
      <c r="A45" s="43"/>
      <c r="B45" s="31" t="s">
        <v>61</v>
      </c>
      <c r="C45" s="49"/>
      <c r="D45" s="40">
        <f>D31+D33</f>
        <v>0</v>
      </c>
      <c r="E45" s="40">
        <f aca="true" t="shared" si="7" ref="E45:L45">E31+E33</f>
        <v>633617.74</v>
      </c>
      <c r="F45" s="40">
        <f t="shared" si="7"/>
        <v>633617.74</v>
      </c>
      <c r="G45" s="40">
        <f t="shared" si="7"/>
        <v>379107.11</v>
      </c>
      <c r="H45" s="60">
        <f t="shared" si="7"/>
        <v>-254510.63</v>
      </c>
      <c r="I45" s="40">
        <f t="shared" si="7"/>
        <v>0</v>
      </c>
      <c r="J45" s="40">
        <f t="shared" si="7"/>
        <v>708524.3980000002</v>
      </c>
      <c r="K45" s="40">
        <f t="shared" si="7"/>
        <v>303765.43999999994</v>
      </c>
      <c r="L45" s="60">
        <f t="shared" si="7"/>
        <v>-404758.952</v>
      </c>
    </row>
    <row r="46" spans="1:12" ht="12">
      <c r="A46" s="16"/>
      <c r="B46" s="15"/>
      <c r="C46" s="50"/>
      <c r="D46" s="50"/>
      <c r="E46" s="50"/>
      <c r="F46" s="22"/>
      <c r="G46" s="22"/>
      <c r="H46" s="63"/>
      <c r="I46" s="22"/>
      <c r="J46" s="22"/>
      <c r="K46" s="22"/>
      <c r="L46" s="58"/>
    </row>
    <row r="47" spans="1:12" ht="12">
      <c r="A47" s="16"/>
      <c r="B47" s="15" t="s">
        <v>62</v>
      </c>
      <c r="C47" s="50"/>
      <c r="D47" s="50"/>
      <c r="E47" s="50"/>
      <c r="F47" s="22"/>
      <c r="G47" s="22"/>
      <c r="H47" s="63"/>
      <c r="I47" s="22"/>
      <c r="J47" s="22"/>
      <c r="K47" s="22"/>
      <c r="L47" s="58"/>
    </row>
    <row r="48" spans="1:12" ht="12">
      <c r="A48" s="16"/>
      <c r="B48" s="15" t="s">
        <v>63</v>
      </c>
      <c r="C48" s="50"/>
      <c r="D48" s="50"/>
      <c r="E48" s="50"/>
      <c r="F48" s="22"/>
      <c r="G48" s="22"/>
      <c r="H48" s="63"/>
      <c r="I48" s="22"/>
      <c r="J48" s="22"/>
      <c r="K48" s="22"/>
      <c r="L48" s="58"/>
    </row>
    <row r="49" spans="1:12" ht="12">
      <c r="A49" s="16"/>
      <c r="B49" s="48"/>
      <c r="C49" s="29"/>
      <c r="D49" s="29"/>
      <c r="E49" s="29"/>
      <c r="F49" s="47"/>
      <c r="G49" s="47"/>
      <c r="H49" s="62"/>
      <c r="I49" s="47"/>
      <c r="J49" s="47"/>
      <c r="K49" s="47"/>
      <c r="L49" s="62"/>
    </row>
    <row r="50" spans="1:12" s="45" customFormat="1" ht="12">
      <c r="A50" s="43"/>
      <c r="B50" s="52"/>
      <c r="C50" s="53"/>
      <c r="D50" s="44">
        <f>D45+D47+D48</f>
        <v>0</v>
      </c>
      <c r="E50" s="44">
        <f>E45+E47+E48</f>
        <v>633617.74</v>
      </c>
      <c r="F50" s="44">
        <f>F45+F47+F48</f>
        <v>633617.74</v>
      </c>
      <c r="G50" s="44">
        <f>G45+G47+G48</f>
        <v>379107.11</v>
      </c>
      <c r="H50" s="61">
        <f>H45+H47+H48</f>
        <v>-254510.63</v>
      </c>
      <c r="I50" s="44"/>
      <c r="J50" s="44">
        <f>J45+J47+J48</f>
        <v>708524.3980000002</v>
      </c>
      <c r="K50" s="44">
        <f>K45+K47+K48</f>
        <v>303765.43999999994</v>
      </c>
      <c r="L50" s="61">
        <f>L45+L47+L48</f>
        <v>-404758.952</v>
      </c>
    </row>
    <row r="51" spans="9:11" ht="12">
      <c r="I51" s="4" t="s">
        <v>64</v>
      </c>
      <c r="K51" s="4">
        <v>49388.67</v>
      </c>
    </row>
    <row r="52" spans="2:11" ht="12">
      <c r="B52" s="2"/>
      <c r="C52" s="5"/>
      <c r="I52" s="4" t="s">
        <v>65</v>
      </c>
      <c r="K52" s="4">
        <v>25953</v>
      </c>
    </row>
    <row r="53" spans="2:11" ht="24">
      <c r="B53" s="2" t="s">
        <v>66</v>
      </c>
      <c r="C53" s="5" t="s">
        <v>67</v>
      </c>
      <c r="D53" s="3" t="s">
        <v>68</v>
      </c>
      <c r="K53" s="4">
        <f>G50-K50-K51-K52</f>
        <v>4.3655745685100555E-11</v>
      </c>
    </row>
    <row r="54" spans="1:4" ht="24">
      <c r="A54" s="54"/>
      <c r="B54" s="2" t="s">
        <v>69</v>
      </c>
      <c r="C54" s="5" t="s">
        <v>67</v>
      </c>
      <c r="D54" s="3" t="s">
        <v>70</v>
      </c>
    </row>
  </sheetData>
  <mergeCells count="5">
    <mergeCell ref="I4:L4"/>
    <mergeCell ref="A4:A5"/>
    <mergeCell ref="B4:B5"/>
    <mergeCell ref="C4:C5"/>
    <mergeCell ref="D4:H4"/>
  </mergeCells>
  <printOptions/>
  <pageMargins left="0.19" right="0.16" top="0.61" bottom="0.2" header="0.5" footer="0.5"/>
  <pageSetup horizontalDpi="600" verticalDpi="600" orientation="landscape" paperSize="9" scale="71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pane xSplit="3" ySplit="5" topLeftCell="G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36" sqref="K36"/>
    </sheetView>
  </sheetViews>
  <sheetFormatPr defaultColWidth="9.00390625" defaultRowHeight="12.75"/>
  <cols>
    <col min="1" max="1" width="4.75390625" style="1" customWidth="1"/>
    <col min="2" max="2" width="41.625" style="6" customWidth="1"/>
    <col min="3" max="3" width="27.00390625" style="3" customWidth="1"/>
    <col min="4" max="4" width="14.75390625" style="3" customWidth="1"/>
    <col min="5" max="5" width="14.375" style="3" customWidth="1"/>
    <col min="6" max="6" width="15.25390625" style="4" customWidth="1"/>
    <col min="7" max="11" width="14.875" style="4" customWidth="1"/>
    <col min="12" max="12" width="15.625" style="4" customWidth="1"/>
    <col min="13" max="16384" width="9.125" style="1" customWidth="1"/>
  </cols>
  <sheetData>
    <row r="1" spans="2:3" ht="12">
      <c r="B1" s="2" t="s">
        <v>90</v>
      </c>
      <c r="C1" s="2"/>
    </row>
    <row r="2" spans="2:5" ht="12">
      <c r="B2" s="2" t="s">
        <v>91</v>
      </c>
      <c r="C2" s="2"/>
      <c r="D2" s="5"/>
      <c r="E2" s="5"/>
    </row>
    <row r="4" spans="1:12" s="7" customFormat="1" ht="12.75" customHeight="1">
      <c r="A4" s="78" t="s">
        <v>0</v>
      </c>
      <c r="B4" s="80" t="s">
        <v>1</v>
      </c>
      <c r="C4" s="82" t="s">
        <v>2</v>
      </c>
      <c r="D4" s="75" t="s">
        <v>3</v>
      </c>
      <c r="E4" s="76"/>
      <c r="F4" s="76"/>
      <c r="G4" s="76"/>
      <c r="H4" s="77"/>
      <c r="I4" s="75" t="s">
        <v>4</v>
      </c>
      <c r="J4" s="76"/>
      <c r="K4" s="76"/>
      <c r="L4" s="77"/>
    </row>
    <row r="5" spans="1:12" s="7" customFormat="1" ht="51" customHeight="1">
      <c r="A5" s="79"/>
      <c r="B5" s="81"/>
      <c r="C5" s="83"/>
      <c r="D5" s="11" t="s">
        <v>5</v>
      </c>
      <c r="E5" s="11" t="s">
        <v>112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</row>
    <row r="6" spans="1:12" s="7" customFormat="1" ht="15" customHeight="1">
      <c r="A6" s="8"/>
      <c r="B6" s="9" t="s">
        <v>14</v>
      </c>
      <c r="C6" s="10">
        <v>4620.4</v>
      </c>
      <c r="D6" s="11"/>
      <c r="E6" s="11"/>
      <c r="F6" s="12"/>
      <c r="G6" s="12"/>
      <c r="H6" s="12"/>
      <c r="I6" s="9"/>
      <c r="J6" s="9"/>
      <c r="K6" s="9"/>
      <c r="L6" s="9"/>
    </row>
    <row r="7" spans="1:12" s="7" customFormat="1" ht="12">
      <c r="A7" s="13"/>
      <c r="B7" s="12" t="s">
        <v>15</v>
      </c>
      <c r="C7" s="11">
        <v>80</v>
      </c>
      <c r="D7" s="11"/>
      <c r="E7" s="11"/>
      <c r="F7" s="14"/>
      <c r="G7" s="14"/>
      <c r="H7" s="14"/>
      <c r="I7" s="14"/>
      <c r="J7" s="14"/>
      <c r="K7" s="14"/>
      <c r="L7" s="14"/>
    </row>
    <row r="8" spans="1:12" s="7" customFormat="1" ht="12">
      <c r="A8" s="15">
        <v>1</v>
      </c>
      <c r="B8" s="15" t="s">
        <v>16</v>
      </c>
      <c r="C8" s="11"/>
      <c r="D8" s="11"/>
      <c r="E8" s="11">
        <v>229033.2</v>
      </c>
      <c r="F8" s="14"/>
      <c r="G8" s="14"/>
      <c r="H8" s="14"/>
      <c r="I8" s="14"/>
      <c r="J8" s="14"/>
      <c r="K8" s="14"/>
      <c r="L8" s="14"/>
    </row>
    <row r="9" spans="1:12" s="7" customFormat="1" ht="12">
      <c r="A9" s="16"/>
      <c r="B9" s="16"/>
      <c r="C9" s="11"/>
      <c r="D9" s="11"/>
      <c r="E9" s="11"/>
      <c r="F9" s="14"/>
      <c r="G9" s="14"/>
      <c r="H9" s="14"/>
      <c r="I9" s="14"/>
      <c r="J9" s="14"/>
      <c r="K9" s="14"/>
      <c r="L9" s="14"/>
    </row>
    <row r="10" spans="1:17" s="25" customFormat="1" ht="12">
      <c r="A10" s="18" t="s">
        <v>17</v>
      </c>
      <c r="B10" s="19" t="s">
        <v>18</v>
      </c>
      <c r="C10" s="20" t="s">
        <v>19</v>
      </c>
      <c r="D10" s="21"/>
      <c r="E10" s="21">
        <f>229033.2*65.56%</f>
        <v>150154.16592000003</v>
      </c>
      <c r="F10" s="22">
        <f>D10+E10</f>
        <v>150154.16592000003</v>
      </c>
      <c r="G10" s="22">
        <f>'[1]приход'!G8</f>
        <v>16723.529944</v>
      </c>
      <c r="H10" s="22">
        <f>G10-F10</f>
        <v>-133430.63597600002</v>
      </c>
      <c r="I10" s="22"/>
      <c r="J10" s="22">
        <v>299632.36</v>
      </c>
      <c r="K10" s="22"/>
      <c r="L10" s="23">
        <f>K10-J10</f>
        <v>-299632.36</v>
      </c>
      <c r="M10" s="24"/>
      <c r="N10" s="24"/>
      <c r="O10" s="24"/>
      <c r="P10" s="24"/>
      <c r="Q10" s="24"/>
    </row>
    <row r="11" spans="1:17" s="25" customFormat="1" ht="12">
      <c r="A11" s="26" t="s">
        <v>20</v>
      </c>
      <c r="B11" s="27" t="s">
        <v>21</v>
      </c>
      <c r="C11" s="20" t="s">
        <v>22</v>
      </c>
      <c r="D11" s="21"/>
      <c r="E11" s="21">
        <f>229033.2*3.41%</f>
        <v>7810.03212</v>
      </c>
      <c r="F11" s="22">
        <f aca="true" t="shared" si="0" ref="F11:F20">D11+E11</f>
        <v>7810.03212</v>
      </c>
      <c r="G11" s="22">
        <f>'[1]приход'!G9</f>
        <v>869.848034</v>
      </c>
      <c r="H11" s="22">
        <f aca="true" t="shared" si="1" ref="H11:H30">G11-F11</f>
        <v>-6940.184086</v>
      </c>
      <c r="I11" s="22"/>
      <c r="J11" s="22">
        <f>4620.1*1.69</f>
        <v>7807.969</v>
      </c>
      <c r="K11" s="22"/>
      <c r="L11" s="23">
        <f aca="true" t="shared" si="2" ref="L11:L44">K11-J11</f>
        <v>-7807.969</v>
      </c>
      <c r="M11" s="24"/>
      <c r="N11" s="24"/>
      <c r="O11" s="24"/>
      <c r="P11" s="24"/>
      <c r="Q11" s="24"/>
    </row>
    <row r="12" spans="1:17" s="25" customFormat="1" ht="12">
      <c r="A12" s="26" t="s">
        <v>23</v>
      </c>
      <c r="B12" s="27" t="s">
        <v>24</v>
      </c>
      <c r="C12" s="20" t="s">
        <v>22</v>
      </c>
      <c r="D12" s="21"/>
      <c r="E12" s="21">
        <f>229033.2*3.97%</f>
        <v>9092.61804</v>
      </c>
      <c r="F12" s="22">
        <f t="shared" si="0"/>
        <v>9092.61804</v>
      </c>
      <c r="G12" s="22">
        <f>'[1]приход'!G10</f>
        <v>1012.6969780000001</v>
      </c>
      <c r="H12" s="22">
        <f t="shared" si="1"/>
        <v>-8079.921061999999</v>
      </c>
      <c r="I12" s="22"/>
      <c r="J12" s="22">
        <f>4620.1*1.97</f>
        <v>9101.597</v>
      </c>
      <c r="K12" s="22"/>
      <c r="L12" s="23">
        <f t="shared" si="2"/>
        <v>-9101.597</v>
      </c>
      <c r="M12" s="24"/>
      <c r="N12" s="24"/>
      <c r="O12" s="24"/>
      <c r="P12" s="24"/>
      <c r="Q12" s="24"/>
    </row>
    <row r="13" spans="1:17" s="25" customFormat="1" ht="12">
      <c r="A13" s="28" t="s">
        <v>25</v>
      </c>
      <c r="B13" s="19" t="s">
        <v>26</v>
      </c>
      <c r="C13" s="29" t="s">
        <v>22</v>
      </c>
      <c r="D13" s="21"/>
      <c r="E13" s="21">
        <f>229033.2*3.97%</f>
        <v>9092.61804</v>
      </c>
      <c r="F13" s="22">
        <f t="shared" si="0"/>
        <v>9092.61804</v>
      </c>
      <c r="G13" s="22">
        <f>'[1]приход'!G11</f>
        <v>1012.6969780000001</v>
      </c>
      <c r="H13" s="22">
        <f t="shared" si="1"/>
        <v>-8079.921061999999</v>
      </c>
      <c r="I13" s="22"/>
      <c r="J13" s="22"/>
      <c r="K13" s="22"/>
      <c r="L13" s="23">
        <f t="shared" si="2"/>
        <v>0</v>
      </c>
      <c r="M13" s="24"/>
      <c r="N13" s="24"/>
      <c r="O13" s="24"/>
      <c r="P13" s="24"/>
      <c r="Q13" s="24"/>
    </row>
    <row r="14" spans="1:17" s="25" customFormat="1" ht="12">
      <c r="A14" s="26" t="s">
        <v>28</v>
      </c>
      <c r="B14" s="30" t="s">
        <v>29</v>
      </c>
      <c r="C14" s="20" t="s">
        <v>22</v>
      </c>
      <c r="D14" s="21"/>
      <c r="E14" s="21">
        <f>229033.2*2.95%</f>
        <v>6756.479400000001</v>
      </c>
      <c r="F14" s="22">
        <f t="shared" si="0"/>
        <v>6756.479400000001</v>
      </c>
      <c r="G14" s="22">
        <f>'[1]приход'!G12</f>
        <v>752.50783</v>
      </c>
      <c r="H14" s="22">
        <f t="shared" si="1"/>
        <v>-6003.9715700000015</v>
      </c>
      <c r="I14" s="22"/>
      <c r="J14" s="22">
        <f>1.46*4620.1</f>
        <v>6745.3460000000005</v>
      </c>
      <c r="K14" s="22"/>
      <c r="L14" s="23">
        <f t="shared" si="2"/>
        <v>-6745.3460000000005</v>
      </c>
      <c r="M14" s="24"/>
      <c r="N14" s="24"/>
      <c r="O14" s="24"/>
      <c r="P14" s="24"/>
      <c r="Q14" s="24"/>
    </row>
    <row r="15" spans="1:17" s="25" customFormat="1" ht="12" customHeight="1">
      <c r="A15" s="26" t="s">
        <v>30</v>
      </c>
      <c r="B15" s="30" t="s">
        <v>31</v>
      </c>
      <c r="C15" s="20" t="s">
        <v>22</v>
      </c>
      <c r="D15" s="21"/>
      <c r="E15" s="21">
        <f>229033.2*17.81%</f>
        <v>40790.81292</v>
      </c>
      <c r="F15" s="22">
        <f t="shared" si="0"/>
        <v>40790.81292</v>
      </c>
      <c r="G15" s="22">
        <f>'[1]приход'!G13</f>
        <v>4543.106594000001</v>
      </c>
      <c r="H15" s="22">
        <f t="shared" si="1"/>
        <v>-36247.706326</v>
      </c>
      <c r="I15" s="22"/>
      <c r="J15" s="22">
        <f>8.83*4620.1</f>
        <v>40795.483</v>
      </c>
      <c r="K15" s="22"/>
      <c r="L15" s="23">
        <f t="shared" si="2"/>
        <v>-40795.483</v>
      </c>
      <c r="M15" s="24"/>
      <c r="N15" s="24"/>
      <c r="O15" s="24"/>
      <c r="P15" s="24"/>
      <c r="Q15" s="24"/>
    </row>
    <row r="16" spans="1:17" s="25" customFormat="1" ht="12.75" customHeight="1" hidden="1">
      <c r="A16" s="26"/>
      <c r="B16" s="30"/>
      <c r="C16" s="20"/>
      <c r="D16" s="21"/>
      <c r="E16" s="21"/>
      <c r="F16" s="22"/>
      <c r="G16" s="22"/>
      <c r="H16" s="22"/>
      <c r="I16" s="22"/>
      <c r="J16" s="22"/>
      <c r="K16" s="22"/>
      <c r="L16" s="23"/>
      <c r="M16" s="24"/>
      <c r="N16" s="24"/>
      <c r="O16" s="24"/>
      <c r="P16" s="24"/>
      <c r="Q16" s="24"/>
    </row>
    <row r="17" spans="1:17" s="25" customFormat="1" ht="12.75" customHeight="1" hidden="1">
      <c r="A17" s="26"/>
      <c r="B17" s="30"/>
      <c r="C17" s="20"/>
      <c r="D17" s="21"/>
      <c r="E17" s="21"/>
      <c r="F17" s="22"/>
      <c r="G17" s="22"/>
      <c r="H17" s="22"/>
      <c r="I17" s="22"/>
      <c r="J17" s="22"/>
      <c r="K17" s="22"/>
      <c r="L17" s="23"/>
      <c r="M17" s="24"/>
      <c r="N17" s="24"/>
      <c r="O17" s="24"/>
      <c r="P17" s="24"/>
      <c r="Q17" s="24"/>
    </row>
    <row r="18" spans="1:17" s="25" customFormat="1" ht="12.75" customHeight="1" hidden="1">
      <c r="A18" s="26"/>
      <c r="B18" s="30"/>
      <c r="C18" s="20"/>
      <c r="D18" s="21"/>
      <c r="E18" s="21"/>
      <c r="F18" s="22"/>
      <c r="G18" s="22"/>
      <c r="H18" s="22"/>
      <c r="I18" s="22"/>
      <c r="J18" s="22"/>
      <c r="K18" s="22"/>
      <c r="L18" s="23"/>
      <c r="M18" s="24"/>
      <c r="N18" s="24"/>
      <c r="O18" s="24"/>
      <c r="P18" s="24"/>
      <c r="Q18" s="24"/>
    </row>
    <row r="19" spans="1:17" s="25" customFormat="1" ht="12.75" customHeight="1" hidden="1">
      <c r="A19" s="26"/>
      <c r="B19" s="30"/>
      <c r="C19" s="20"/>
      <c r="D19" s="21"/>
      <c r="E19" s="21"/>
      <c r="F19" s="22"/>
      <c r="G19" s="22"/>
      <c r="H19" s="22"/>
      <c r="I19" s="22"/>
      <c r="J19" s="22"/>
      <c r="K19" s="22"/>
      <c r="L19" s="23"/>
      <c r="M19" s="24"/>
      <c r="N19" s="24"/>
      <c r="O19" s="24"/>
      <c r="P19" s="24"/>
      <c r="Q19" s="24"/>
    </row>
    <row r="20" spans="1:17" s="25" customFormat="1" ht="11.25" customHeight="1">
      <c r="A20" s="28">
        <v>1.7</v>
      </c>
      <c r="B20" s="19" t="s">
        <v>40</v>
      </c>
      <c r="C20" s="20" t="s">
        <v>19</v>
      </c>
      <c r="D20" s="21"/>
      <c r="E20" s="21">
        <f>229033.2*2.33%</f>
        <v>5336.47356</v>
      </c>
      <c r="F20" s="22">
        <f t="shared" si="0"/>
        <v>5336.47356</v>
      </c>
      <c r="G20" s="22">
        <f>'[1]приход'!G18</f>
        <v>594.353642</v>
      </c>
      <c r="H20" s="22">
        <f t="shared" si="1"/>
        <v>-4742.119918</v>
      </c>
      <c r="I20" s="22"/>
      <c r="J20" s="22"/>
      <c r="K20" s="22"/>
      <c r="L20" s="23">
        <f t="shared" si="2"/>
        <v>0</v>
      </c>
      <c r="M20" s="24"/>
      <c r="N20" s="24"/>
      <c r="O20" s="24"/>
      <c r="P20" s="24"/>
      <c r="Q20" s="24"/>
    </row>
    <row r="21" spans="1:17" s="25" customFormat="1" ht="12">
      <c r="A21" s="28"/>
      <c r="B21" s="19"/>
      <c r="C21" s="20"/>
      <c r="D21" s="21"/>
      <c r="E21" s="21"/>
      <c r="F21" s="22"/>
      <c r="G21" s="22"/>
      <c r="H21" s="22"/>
      <c r="I21" s="22"/>
      <c r="J21" s="22"/>
      <c r="K21" s="22"/>
      <c r="L21" s="23"/>
      <c r="M21" s="24"/>
      <c r="N21" s="24"/>
      <c r="O21" s="24"/>
      <c r="P21" s="24"/>
      <c r="Q21" s="24"/>
    </row>
    <row r="22" spans="1:17" s="35" customFormat="1" ht="12">
      <c r="A22" s="31"/>
      <c r="B22" s="31" t="s">
        <v>43</v>
      </c>
      <c r="C22" s="32"/>
      <c r="D22" s="33">
        <f aca="true" t="shared" si="3" ref="D22:L22">SUM(D10:D20)</f>
        <v>0</v>
      </c>
      <c r="E22" s="33">
        <f t="shared" si="3"/>
        <v>229033.20000000004</v>
      </c>
      <c r="F22" s="33">
        <f t="shared" si="3"/>
        <v>229033.20000000004</v>
      </c>
      <c r="G22" s="33">
        <f t="shared" si="3"/>
        <v>25508.739999999998</v>
      </c>
      <c r="H22" s="33">
        <f t="shared" si="3"/>
        <v>-203524.46000000002</v>
      </c>
      <c r="I22" s="33">
        <f t="shared" si="3"/>
        <v>0</v>
      </c>
      <c r="J22" s="33">
        <f t="shared" si="3"/>
        <v>364082.755</v>
      </c>
      <c r="K22" s="33">
        <f t="shared" si="3"/>
        <v>0</v>
      </c>
      <c r="L22" s="33">
        <f t="shared" si="3"/>
        <v>-364082.755</v>
      </c>
      <c r="M22" s="34"/>
      <c r="N22" s="34"/>
      <c r="O22" s="34"/>
      <c r="P22" s="34"/>
      <c r="Q22" s="34"/>
    </row>
    <row r="23" spans="1:17" s="35" customFormat="1" ht="12">
      <c r="A23" s="16"/>
      <c r="B23" s="16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34"/>
      <c r="N23" s="34"/>
      <c r="O23" s="34"/>
      <c r="P23" s="34"/>
      <c r="Q23" s="34"/>
    </row>
    <row r="24" spans="1:17" s="25" customFormat="1" ht="12">
      <c r="A24" s="15">
        <v>2</v>
      </c>
      <c r="B24" s="15" t="s">
        <v>44</v>
      </c>
      <c r="C24" s="36" t="s">
        <v>45</v>
      </c>
      <c r="D24" s="21"/>
      <c r="E24" s="21">
        <v>1313.6</v>
      </c>
      <c r="F24" s="22">
        <f aca="true" t="shared" si="4" ref="F24:F30">D24+E24</f>
        <v>1313.6</v>
      </c>
      <c r="G24" s="22">
        <f>'[1]приход'!G22</f>
        <v>1313.6</v>
      </c>
      <c r="H24" s="22">
        <f t="shared" si="1"/>
        <v>0</v>
      </c>
      <c r="I24" s="22"/>
      <c r="J24" s="22"/>
      <c r="K24" s="22"/>
      <c r="L24" s="23"/>
      <c r="M24" s="24"/>
      <c r="N24" s="24"/>
      <c r="O24" s="24"/>
      <c r="P24" s="24"/>
      <c r="Q24" s="24"/>
    </row>
    <row r="25" spans="1:17" s="25" customFormat="1" ht="12">
      <c r="A25" s="15">
        <v>3</v>
      </c>
      <c r="B25" s="15" t="s">
        <v>46</v>
      </c>
      <c r="C25" s="36" t="s">
        <v>47</v>
      </c>
      <c r="D25" s="21"/>
      <c r="E25" s="21">
        <v>2532.68</v>
      </c>
      <c r="F25" s="22">
        <f t="shared" si="4"/>
        <v>2532.68</v>
      </c>
      <c r="G25" s="22">
        <f>'[1]приход'!G23</f>
        <v>2532.68</v>
      </c>
      <c r="H25" s="22">
        <f t="shared" si="1"/>
        <v>0</v>
      </c>
      <c r="I25" s="22"/>
      <c r="J25" s="22">
        <v>18371.8</v>
      </c>
      <c r="K25" s="22"/>
      <c r="L25" s="23">
        <f t="shared" si="2"/>
        <v>-18371.8</v>
      </c>
      <c r="M25" s="24"/>
      <c r="N25" s="24"/>
      <c r="O25" s="24"/>
      <c r="P25" s="24"/>
      <c r="Q25" s="24"/>
    </row>
    <row r="26" spans="1:17" s="25" customFormat="1" ht="12">
      <c r="A26" s="15">
        <v>4</v>
      </c>
      <c r="B26" s="15" t="s">
        <v>48</v>
      </c>
      <c r="C26" s="36" t="s">
        <v>45</v>
      </c>
      <c r="D26" s="21"/>
      <c r="E26" s="21">
        <v>1547.41</v>
      </c>
      <c r="F26" s="22">
        <f t="shared" si="4"/>
        <v>1547.41</v>
      </c>
      <c r="G26" s="22">
        <f>'[1]приход'!G24</f>
        <v>1547.41</v>
      </c>
      <c r="H26" s="22">
        <f t="shared" si="1"/>
        <v>0</v>
      </c>
      <c r="I26" s="22"/>
      <c r="J26" s="22"/>
      <c r="K26" s="22"/>
      <c r="L26" s="23">
        <f t="shared" si="2"/>
        <v>0</v>
      </c>
      <c r="M26" s="24"/>
      <c r="N26" s="24"/>
      <c r="O26" s="24"/>
      <c r="P26" s="24"/>
      <c r="Q26" s="24"/>
    </row>
    <row r="27" spans="1:17" s="25" customFormat="1" ht="12">
      <c r="A27" s="15">
        <v>5</v>
      </c>
      <c r="B27" s="15" t="s">
        <v>78</v>
      </c>
      <c r="C27" s="36" t="s">
        <v>47</v>
      </c>
      <c r="D27" s="21"/>
      <c r="E27" s="21">
        <v>5807.49</v>
      </c>
      <c r="F27" s="22">
        <f t="shared" si="4"/>
        <v>5807.49</v>
      </c>
      <c r="G27" s="22">
        <f>'[1]приход'!G25</f>
        <v>5807.49</v>
      </c>
      <c r="H27" s="22">
        <f>G27-F27</f>
        <v>0</v>
      </c>
      <c r="I27" s="22"/>
      <c r="J27" s="22"/>
      <c r="K27" s="22"/>
      <c r="L27" s="23">
        <f t="shared" si="2"/>
        <v>0</v>
      </c>
      <c r="M27" s="24"/>
      <c r="N27" s="24"/>
      <c r="O27" s="24"/>
      <c r="P27" s="24"/>
      <c r="Q27" s="24"/>
    </row>
    <row r="28" spans="1:17" s="25" customFormat="1" ht="12" hidden="1">
      <c r="A28" s="15">
        <v>6</v>
      </c>
      <c r="B28" s="15" t="s">
        <v>79</v>
      </c>
      <c r="C28" s="36" t="s">
        <v>34</v>
      </c>
      <c r="D28" s="21"/>
      <c r="E28" s="21"/>
      <c r="F28" s="22">
        <f t="shared" si="4"/>
        <v>0</v>
      </c>
      <c r="G28" s="22"/>
      <c r="H28" s="22">
        <f t="shared" si="1"/>
        <v>0</v>
      </c>
      <c r="I28" s="22"/>
      <c r="J28" s="22"/>
      <c r="K28" s="22"/>
      <c r="L28" s="23">
        <f t="shared" si="2"/>
        <v>0</v>
      </c>
      <c r="M28" s="24"/>
      <c r="N28" s="24"/>
      <c r="O28" s="24"/>
      <c r="P28" s="24"/>
      <c r="Q28" s="24"/>
    </row>
    <row r="29" spans="1:17" s="25" customFormat="1" ht="12">
      <c r="A29" s="15"/>
      <c r="B29" s="15"/>
      <c r="C29" s="36"/>
      <c r="D29" s="21"/>
      <c r="E29" s="21"/>
      <c r="F29" s="22"/>
      <c r="G29" s="22"/>
      <c r="H29" s="22"/>
      <c r="I29" s="22"/>
      <c r="J29" s="22"/>
      <c r="K29" s="22"/>
      <c r="L29" s="23"/>
      <c r="M29" s="24"/>
      <c r="N29" s="24"/>
      <c r="O29" s="24"/>
      <c r="P29" s="24"/>
      <c r="Q29" s="24"/>
    </row>
    <row r="30" spans="1:17" s="25" customFormat="1" ht="12">
      <c r="A30" s="15"/>
      <c r="B30" s="15"/>
      <c r="C30" s="36"/>
      <c r="D30" s="21"/>
      <c r="E30" s="21"/>
      <c r="F30" s="22">
        <f t="shared" si="4"/>
        <v>0</v>
      </c>
      <c r="G30" s="22"/>
      <c r="H30" s="22">
        <f t="shared" si="1"/>
        <v>0</v>
      </c>
      <c r="I30" s="22"/>
      <c r="J30" s="22"/>
      <c r="K30" s="22"/>
      <c r="L30" s="23">
        <f t="shared" si="2"/>
        <v>0</v>
      </c>
      <c r="M30" s="24"/>
      <c r="N30" s="24"/>
      <c r="O30" s="24"/>
      <c r="P30" s="24"/>
      <c r="Q30" s="24"/>
    </row>
    <row r="31" spans="1:17" s="42" customFormat="1" ht="12">
      <c r="A31" s="32"/>
      <c r="B31" s="39" t="s">
        <v>50</v>
      </c>
      <c r="C31" s="39"/>
      <c r="D31" s="40">
        <f>D22+D24+D25+D26+D27+D28</f>
        <v>0</v>
      </c>
      <c r="E31" s="40">
        <f aca="true" t="shared" si="5" ref="E31:L31">E22+E24+E25+E26+E27+E28</f>
        <v>240234.38000000003</v>
      </c>
      <c r="F31" s="40">
        <f t="shared" si="5"/>
        <v>240234.38000000003</v>
      </c>
      <c r="G31" s="40">
        <f t="shared" si="5"/>
        <v>36709.92</v>
      </c>
      <c r="H31" s="40">
        <f>H22+H24+H25+H26+H27+H28</f>
        <v>-203524.46000000002</v>
      </c>
      <c r="I31" s="40">
        <f t="shared" si="5"/>
        <v>0</v>
      </c>
      <c r="J31" s="40">
        <f t="shared" si="5"/>
        <v>382454.555</v>
      </c>
      <c r="K31" s="40">
        <f t="shared" si="5"/>
        <v>0</v>
      </c>
      <c r="L31" s="40">
        <f t="shared" si="5"/>
        <v>-382454.555</v>
      </c>
      <c r="M31" s="41"/>
      <c r="N31" s="41"/>
      <c r="O31" s="41"/>
      <c r="P31" s="41"/>
      <c r="Q31" s="41"/>
    </row>
    <row r="32" spans="1:17" s="35" customFormat="1" ht="12">
      <c r="A32" s="26"/>
      <c r="B32" s="38"/>
      <c r="C32" s="38"/>
      <c r="D32" s="38"/>
      <c r="E32" s="38"/>
      <c r="F32" s="22"/>
      <c r="G32" s="22"/>
      <c r="H32" s="22"/>
      <c r="I32" s="22"/>
      <c r="J32" s="22"/>
      <c r="K32" s="22"/>
      <c r="L32" s="23">
        <f t="shared" si="2"/>
        <v>0</v>
      </c>
      <c r="M32" s="34"/>
      <c r="N32" s="34"/>
      <c r="O32" s="34"/>
      <c r="P32" s="34"/>
      <c r="Q32" s="34"/>
    </row>
    <row r="33" spans="1:12" s="45" customFormat="1" ht="12">
      <c r="A33" s="43"/>
      <c r="B33" s="31" t="s">
        <v>51</v>
      </c>
      <c r="C33" s="31"/>
      <c r="D33" s="44">
        <f>SUM(D36:D42)</f>
        <v>0</v>
      </c>
      <c r="E33" s="44">
        <f>SUM(E36:E42)</f>
        <v>154059.84</v>
      </c>
      <c r="F33" s="44">
        <f>SUM(F36:F42)</f>
        <v>154059.84</v>
      </c>
      <c r="G33" s="44">
        <f>SUM(G36:G42)</f>
        <v>0</v>
      </c>
      <c r="H33" s="44">
        <f>SUM(H36:H42)</f>
        <v>-154059.84</v>
      </c>
      <c r="I33" s="44"/>
      <c r="J33" s="44">
        <f>SUM(J36:J43)</f>
        <v>254512.88</v>
      </c>
      <c r="K33" s="44">
        <f>SUM(K36:K43)</f>
        <v>36709.92</v>
      </c>
      <c r="L33" s="44">
        <f>SUM(L36:L43)</f>
        <v>-217802.96</v>
      </c>
    </row>
    <row r="34" spans="1:12" s="69" customFormat="1" ht="12">
      <c r="A34" s="67"/>
      <c r="B34" s="68"/>
      <c r="C34" s="68"/>
      <c r="D34" s="57"/>
      <c r="E34" s="57"/>
      <c r="F34" s="57"/>
      <c r="G34" s="57"/>
      <c r="H34" s="57"/>
      <c r="I34" s="57"/>
      <c r="J34" s="57"/>
      <c r="K34" s="57"/>
      <c r="L34" s="57"/>
    </row>
    <row r="35" spans="1:12" s="69" customFormat="1" ht="12">
      <c r="A35" s="67"/>
      <c r="B35" s="68"/>
      <c r="C35" s="68"/>
      <c r="D35" s="57"/>
      <c r="E35" s="57"/>
      <c r="F35" s="57">
        <f>D35+E35</f>
        <v>0</v>
      </c>
      <c r="G35" s="57"/>
      <c r="H35" s="57"/>
      <c r="I35" s="57"/>
      <c r="J35" s="57"/>
      <c r="K35" s="57"/>
      <c r="L35" s="57"/>
    </row>
    <row r="36" spans="1:12" ht="13.5" customHeight="1">
      <c r="A36" s="16">
        <v>1</v>
      </c>
      <c r="B36" s="46" t="s">
        <v>54</v>
      </c>
      <c r="C36" s="46" t="s">
        <v>55</v>
      </c>
      <c r="D36" s="46"/>
      <c r="E36" s="46"/>
      <c r="F36" s="57">
        <f aca="true" t="shared" si="6" ref="F36:F43">D36+E36</f>
        <v>0</v>
      </c>
      <c r="G36" s="47"/>
      <c r="H36" s="57">
        <f>G36-F36</f>
        <v>0</v>
      </c>
      <c r="I36" s="47">
        <v>0</v>
      </c>
      <c r="J36" s="47">
        <v>45000</v>
      </c>
      <c r="K36" s="47">
        <v>36709.92</v>
      </c>
      <c r="L36" s="23">
        <f t="shared" si="2"/>
        <v>-8290.080000000002</v>
      </c>
    </row>
    <row r="37" spans="1:12" ht="13.5" customHeight="1" hidden="1">
      <c r="A37" s="16"/>
      <c r="B37" s="46"/>
      <c r="C37" s="46"/>
      <c r="D37" s="46"/>
      <c r="E37" s="46"/>
      <c r="F37" s="57">
        <f t="shared" si="6"/>
        <v>0</v>
      </c>
      <c r="G37" s="47"/>
      <c r="H37" s="57">
        <f aca="true" t="shared" si="7" ref="H37:H43">G37-F37</f>
        <v>0</v>
      </c>
      <c r="I37" s="47"/>
      <c r="J37" s="47"/>
      <c r="K37" s="47"/>
      <c r="L37" s="23"/>
    </row>
    <row r="38" spans="1:12" ht="13.5" customHeight="1" hidden="1">
      <c r="A38" s="16"/>
      <c r="B38" s="46"/>
      <c r="C38" s="46"/>
      <c r="D38" s="46"/>
      <c r="E38" s="46"/>
      <c r="F38" s="57">
        <f t="shared" si="6"/>
        <v>0</v>
      </c>
      <c r="G38" s="47"/>
      <c r="H38" s="57">
        <f t="shared" si="7"/>
        <v>0</v>
      </c>
      <c r="I38" s="47"/>
      <c r="J38" s="47"/>
      <c r="K38" s="47"/>
      <c r="L38" s="23"/>
    </row>
    <row r="39" spans="1:12" ht="13.5" customHeight="1" hidden="1">
      <c r="A39" s="16"/>
      <c r="B39" s="46"/>
      <c r="C39" s="46"/>
      <c r="D39" s="46"/>
      <c r="E39" s="46"/>
      <c r="F39" s="57">
        <f t="shared" si="6"/>
        <v>0</v>
      </c>
      <c r="G39" s="47"/>
      <c r="H39" s="57">
        <f t="shared" si="7"/>
        <v>0</v>
      </c>
      <c r="I39" s="47"/>
      <c r="J39" s="47"/>
      <c r="K39" s="47"/>
      <c r="L39" s="23"/>
    </row>
    <row r="40" spans="1:12" ht="13.5" customHeight="1" hidden="1">
      <c r="A40" s="16"/>
      <c r="B40" s="46"/>
      <c r="C40" s="46"/>
      <c r="D40" s="46"/>
      <c r="E40" s="46"/>
      <c r="F40" s="57">
        <f t="shared" si="6"/>
        <v>0</v>
      </c>
      <c r="G40" s="47"/>
      <c r="H40" s="57">
        <f t="shared" si="7"/>
        <v>0</v>
      </c>
      <c r="I40" s="47"/>
      <c r="J40" s="47"/>
      <c r="K40" s="47"/>
      <c r="L40" s="23"/>
    </row>
    <row r="41" spans="1:12" ht="12">
      <c r="A41" s="16">
        <v>2</v>
      </c>
      <c r="B41" s="46" t="s">
        <v>87</v>
      </c>
      <c r="C41" s="46"/>
      <c r="D41" s="46"/>
      <c r="E41" s="56">
        <v>153358.03</v>
      </c>
      <c r="F41" s="57">
        <f t="shared" si="6"/>
        <v>153358.03</v>
      </c>
      <c r="G41" s="47"/>
      <c r="H41" s="57">
        <f t="shared" si="7"/>
        <v>-153358.03</v>
      </c>
      <c r="I41" s="47"/>
      <c r="J41" s="47">
        <v>153358.03</v>
      </c>
      <c r="K41" s="47"/>
      <c r="L41" s="23">
        <f t="shared" si="2"/>
        <v>-153358.03</v>
      </c>
    </row>
    <row r="42" spans="1:12" ht="11.25" customHeight="1">
      <c r="A42" s="16">
        <v>3</v>
      </c>
      <c r="B42" s="46" t="s">
        <v>88</v>
      </c>
      <c r="C42" s="46"/>
      <c r="D42" s="46"/>
      <c r="E42" s="56">
        <v>701.81</v>
      </c>
      <c r="F42" s="57">
        <f t="shared" si="6"/>
        <v>701.81</v>
      </c>
      <c r="G42" s="47"/>
      <c r="H42" s="57">
        <f t="shared" si="7"/>
        <v>-701.81</v>
      </c>
      <c r="I42" s="47"/>
      <c r="J42" s="47">
        <v>701.81</v>
      </c>
      <c r="K42" s="47"/>
      <c r="L42" s="23">
        <f t="shared" si="2"/>
        <v>-701.81</v>
      </c>
    </row>
    <row r="43" spans="1:12" ht="11.25" customHeight="1">
      <c r="A43" s="16">
        <v>4</v>
      </c>
      <c r="B43" s="46" t="s">
        <v>113</v>
      </c>
      <c r="C43" s="46"/>
      <c r="D43" s="46"/>
      <c r="E43" s="56">
        <v>55453.04</v>
      </c>
      <c r="F43" s="57">
        <f t="shared" si="6"/>
        <v>55453.04</v>
      </c>
      <c r="G43" s="47"/>
      <c r="H43" s="57">
        <f t="shared" si="7"/>
        <v>-55453.04</v>
      </c>
      <c r="I43" s="47"/>
      <c r="J43" s="47">
        <v>55453.04</v>
      </c>
      <c r="K43" s="47"/>
      <c r="L43" s="23">
        <f t="shared" si="2"/>
        <v>-55453.04</v>
      </c>
    </row>
    <row r="44" spans="1:12" ht="12">
      <c r="A44" s="16"/>
      <c r="B44" s="15"/>
      <c r="C44" s="15"/>
      <c r="D44" s="15"/>
      <c r="E44" s="15"/>
      <c r="F44" s="47"/>
      <c r="G44" s="47"/>
      <c r="H44" s="47"/>
      <c r="I44" s="47"/>
      <c r="J44" s="47"/>
      <c r="K44" s="47"/>
      <c r="L44" s="23">
        <f t="shared" si="2"/>
        <v>0</v>
      </c>
    </row>
    <row r="45" spans="1:12" s="45" customFormat="1" ht="14.25" customHeight="1">
      <c r="A45" s="43"/>
      <c r="B45" s="31" t="s">
        <v>59</v>
      </c>
      <c r="C45" s="31"/>
      <c r="D45" s="44">
        <f aca="true" t="shared" si="8" ref="D45:J45">D31+D33</f>
        <v>0</v>
      </c>
      <c r="E45" s="44">
        <f t="shared" si="8"/>
        <v>394294.22000000003</v>
      </c>
      <c r="F45" s="44">
        <f t="shared" si="8"/>
        <v>394294.22000000003</v>
      </c>
      <c r="G45" s="44">
        <f t="shared" si="8"/>
        <v>36709.92</v>
      </c>
      <c r="H45" s="44">
        <f t="shared" si="8"/>
        <v>-357584.30000000005</v>
      </c>
      <c r="I45" s="44"/>
      <c r="J45" s="44">
        <f t="shared" si="8"/>
        <v>636967.435</v>
      </c>
      <c r="K45" s="44">
        <f>K31+K33</f>
        <v>36709.92</v>
      </c>
      <c r="L45" s="44">
        <f>L31+L33</f>
        <v>-600257.515</v>
      </c>
    </row>
    <row r="46" spans="1:12" ht="11.25" customHeight="1">
      <c r="A46" s="16"/>
      <c r="B46" s="48"/>
      <c r="C46" s="29"/>
      <c r="D46" s="29"/>
      <c r="E46" s="29"/>
      <c r="F46" s="47"/>
      <c r="G46" s="47"/>
      <c r="H46" s="47"/>
      <c r="I46" s="47"/>
      <c r="J46" s="47"/>
      <c r="K46" s="47"/>
      <c r="L46" s="47"/>
    </row>
    <row r="47" spans="1:12" ht="12" hidden="1">
      <c r="A47" s="16"/>
      <c r="B47" s="15" t="s">
        <v>62</v>
      </c>
      <c r="C47" s="50"/>
      <c r="D47" s="50"/>
      <c r="E47" s="50"/>
      <c r="F47" s="22"/>
      <c r="G47" s="22"/>
      <c r="H47" s="22"/>
      <c r="I47" s="22"/>
      <c r="J47" s="22"/>
      <c r="K47" s="22"/>
      <c r="L47" s="23"/>
    </row>
    <row r="48" spans="1:12" ht="12" hidden="1">
      <c r="A48" s="16"/>
      <c r="B48" s="15" t="s">
        <v>63</v>
      </c>
      <c r="C48" s="50"/>
      <c r="D48" s="50"/>
      <c r="E48" s="50"/>
      <c r="F48" s="22"/>
      <c r="G48" s="22"/>
      <c r="H48" s="22"/>
      <c r="I48" s="22"/>
      <c r="J48" s="22"/>
      <c r="K48" s="22"/>
      <c r="L48" s="23"/>
    </row>
    <row r="49" spans="1:12" ht="12" hidden="1">
      <c r="A49" s="16"/>
      <c r="B49" s="48"/>
      <c r="C49" s="29"/>
      <c r="D49" s="29"/>
      <c r="E49" s="29"/>
      <c r="F49" s="47"/>
      <c r="G49" s="47"/>
      <c r="H49" s="47"/>
      <c r="I49" s="47"/>
      <c r="J49" s="47"/>
      <c r="K49" s="47"/>
      <c r="L49" s="47"/>
    </row>
    <row r="50" spans="1:12" s="45" customFormat="1" ht="12">
      <c r="A50" s="43"/>
      <c r="B50" s="52"/>
      <c r="C50" s="53"/>
      <c r="D50" s="44">
        <f>D45+D47</f>
        <v>0</v>
      </c>
      <c r="E50" s="44">
        <f aca="true" t="shared" si="9" ref="E50:L50">E45+E47</f>
        <v>394294.22000000003</v>
      </c>
      <c r="F50" s="44">
        <f t="shared" si="9"/>
        <v>394294.22000000003</v>
      </c>
      <c r="G50" s="44">
        <f t="shared" si="9"/>
        <v>36709.92</v>
      </c>
      <c r="H50" s="44">
        <f t="shared" si="9"/>
        <v>-357584.30000000005</v>
      </c>
      <c r="I50" s="44">
        <f t="shared" si="9"/>
        <v>0</v>
      </c>
      <c r="J50" s="44">
        <f t="shared" si="9"/>
        <v>636967.435</v>
      </c>
      <c r="K50" s="44">
        <f t="shared" si="9"/>
        <v>36709.92</v>
      </c>
      <c r="L50" s="44">
        <f t="shared" si="9"/>
        <v>-600257.515</v>
      </c>
    </row>
    <row r="51" ht="12">
      <c r="I51" s="4" t="s">
        <v>64</v>
      </c>
    </row>
    <row r="52" spans="2:9" ht="12">
      <c r="B52" s="2"/>
      <c r="C52" s="5"/>
      <c r="I52" s="4" t="s">
        <v>65</v>
      </c>
    </row>
    <row r="53" spans="2:11" ht="12">
      <c r="B53" s="2" t="s">
        <v>66</v>
      </c>
      <c r="C53" s="5" t="s">
        <v>67</v>
      </c>
      <c r="D53" s="3" t="s">
        <v>68</v>
      </c>
      <c r="K53" s="4">
        <f>G50-K50</f>
        <v>0</v>
      </c>
    </row>
    <row r="54" spans="1:4" ht="12">
      <c r="A54" s="54"/>
      <c r="B54" s="2" t="s">
        <v>69</v>
      </c>
      <c r="C54" s="5" t="s">
        <v>67</v>
      </c>
      <c r="D54" s="3" t="s">
        <v>70</v>
      </c>
    </row>
  </sheetData>
  <mergeCells count="5">
    <mergeCell ref="I4:L4"/>
    <mergeCell ref="A4:A5"/>
    <mergeCell ref="B4:B5"/>
    <mergeCell ref="C4:C5"/>
    <mergeCell ref="D4:H4"/>
  </mergeCells>
  <printOptions/>
  <pageMargins left="0.25" right="0.21" top="0.81" bottom="0.23" header="0.5" footer="0.5"/>
  <pageSetup horizontalDpi="600" verticalDpi="600" orientation="landscape" paperSize="9" scale="70" r:id="rId1"/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pane xSplit="3" ySplit="5" topLeftCell="G2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53" sqref="K53"/>
    </sheetView>
  </sheetViews>
  <sheetFormatPr defaultColWidth="9.00390625" defaultRowHeight="12.75"/>
  <cols>
    <col min="1" max="1" width="4.75390625" style="1" customWidth="1"/>
    <col min="2" max="2" width="41.625" style="6" customWidth="1"/>
    <col min="3" max="3" width="27.00390625" style="3" customWidth="1"/>
    <col min="4" max="4" width="14.75390625" style="3" customWidth="1"/>
    <col min="5" max="5" width="14.375" style="3" customWidth="1"/>
    <col min="6" max="6" width="15.25390625" style="4" customWidth="1"/>
    <col min="7" max="11" width="14.875" style="4" customWidth="1"/>
    <col min="12" max="12" width="15.625" style="4" customWidth="1"/>
    <col min="13" max="16384" width="9.125" style="1" customWidth="1"/>
  </cols>
  <sheetData>
    <row r="1" ht="24">
      <c r="B1" s="2" t="s">
        <v>114</v>
      </c>
    </row>
    <row r="2" spans="2:5" ht="12">
      <c r="B2" s="2"/>
      <c r="C2" s="5"/>
      <c r="D2" s="5"/>
      <c r="E2" s="5"/>
    </row>
    <row r="4" spans="1:12" s="7" customFormat="1" ht="12.75" customHeight="1">
      <c r="A4" s="78" t="s">
        <v>0</v>
      </c>
      <c r="B4" s="80" t="s">
        <v>1</v>
      </c>
      <c r="C4" s="82" t="s">
        <v>2</v>
      </c>
      <c r="D4" s="75" t="s">
        <v>3</v>
      </c>
      <c r="E4" s="76"/>
      <c r="F4" s="76"/>
      <c r="G4" s="76"/>
      <c r="H4" s="77"/>
      <c r="I4" s="75" t="s">
        <v>4</v>
      </c>
      <c r="J4" s="76"/>
      <c r="K4" s="76"/>
      <c r="L4" s="77"/>
    </row>
    <row r="5" spans="1:12" s="7" customFormat="1" ht="51" customHeight="1">
      <c r="A5" s="79"/>
      <c r="B5" s="81"/>
      <c r="C5" s="83"/>
      <c r="D5" s="11" t="s">
        <v>5</v>
      </c>
      <c r="E5" s="11" t="s">
        <v>119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</row>
    <row r="6" spans="1:12" s="7" customFormat="1" ht="15" customHeight="1">
      <c r="A6" s="8"/>
      <c r="B6" s="9" t="s">
        <v>14</v>
      </c>
      <c r="C6" s="10">
        <f>'Л-29,1'!C6+'К-30,5'!C6+'П-12'!C6</f>
        <v>11043.8</v>
      </c>
      <c r="D6" s="11"/>
      <c r="E6" s="11"/>
      <c r="F6" s="12"/>
      <c r="G6" s="12"/>
      <c r="H6" s="12"/>
      <c r="I6" s="9"/>
      <c r="J6" s="9"/>
      <c r="K6" s="9"/>
      <c r="L6" s="9"/>
    </row>
    <row r="7" spans="1:12" s="7" customFormat="1" ht="12">
      <c r="A7" s="13"/>
      <c r="B7" s="12" t="s">
        <v>15</v>
      </c>
      <c r="C7" s="10">
        <f>'Л-29,1'!C7+'К-30,5'!C7+'П-12'!C7</f>
        <v>248</v>
      </c>
      <c r="D7" s="11"/>
      <c r="E7" s="11"/>
      <c r="F7" s="14"/>
      <c r="G7" s="14"/>
      <c r="H7" s="14"/>
      <c r="I7" s="14"/>
      <c r="J7" s="14"/>
      <c r="K7" s="14"/>
      <c r="L7" s="14"/>
    </row>
    <row r="8" spans="1:12" s="7" customFormat="1" ht="12">
      <c r="A8" s="15">
        <v>1</v>
      </c>
      <c r="B8" s="15" t="s">
        <v>16</v>
      </c>
      <c r="C8" s="11"/>
      <c r="D8" s="11"/>
      <c r="E8" s="11"/>
      <c r="F8" s="14"/>
      <c r="G8" s="14"/>
      <c r="H8" s="14"/>
      <c r="I8" s="14"/>
      <c r="J8" s="14"/>
      <c r="K8" s="14"/>
      <c r="L8" s="14"/>
    </row>
    <row r="9" spans="1:12" s="7" customFormat="1" ht="12">
      <c r="A9" s="16"/>
      <c r="B9" s="16"/>
      <c r="C9" s="11"/>
      <c r="D9" s="11"/>
      <c r="E9" s="11"/>
      <c r="F9" s="14"/>
      <c r="G9" s="14"/>
      <c r="H9" s="14"/>
      <c r="I9" s="14"/>
      <c r="J9" s="14"/>
      <c r="K9" s="14"/>
      <c r="L9" s="14"/>
    </row>
    <row r="10" spans="1:17" s="25" customFormat="1" ht="12">
      <c r="A10" s="18" t="s">
        <v>17</v>
      </c>
      <c r="B10" s="19" t="s">
        <v>18</v>
      </c>
      <c r="C10" s="20" t="s">
        <v>19</v>
      </c>
      <c r="D10" s="21">
        <f>'Л-29,1'!D10+'К-30,5'!D10+'П-12'!D10</f>
        <v>116874.335375</v>
      </c>
      <c r="E10" s="21">
        <f>'Л-29,1'!E10+'К-30,5'!E10+'П-12'!E10</f>
        <v>1354843.180444</v>
      </c>
      <c r="F10" s="21">
        <f>'Л-29,1'!F10+'К-30,5'!F10+'П-12'!F10</f>
        <v>1471717.515819</v>
      </c>
      <c r="G10" s="21">
        <f>'Л-29,1'!G10+'К-30,5'!G10+'П-12'!G10</f>
        <v>1130702.686566</v>
      </c>
      <c r="H10" s="21">
        <f>'Л-29,1'!H10+'К-30,5'!H10+'П-12'!H10</f>
        <v>-341014.8292530001</v>
      </c>
      <c r="I10" s="21">
        <f>'Л-29,1'!I10+'К-30,5'!I10+'П-12'!I10</f>
        <v>101120.98</v>
      </c>
      <c r="J10" s="21">
        <f>'Л-29,1'!J10+'К-30,5'!J10+'П-12'!J10</f>
        <v>1330775.6600000001</v>
      </c>
      <c r="K10" s="21">
        <f>'Л-29,1'!K10+'К-30,5'!K10+'П-12'!K10</f>
        <v>616961.31</v>
      </c>
      <c r="L10" s="21">
        <f>'Л-29,1'!L10+'К-30,5'!L10+'П-12'!L10</f>
        <v>-814935.33</v>
      </c>
      <c r="M10" s="24"/>
      <c r="N10" s="24"/>
      <c r="O10" s="24"/>
      <c r="P10" s="24"/>
      <c r="Q10" s="24"/>
    </row>
    <row r="11" spans="1:17" s="25" customFormat="1" ht="12">
      <c r="A11" s="26" t="s">
        <v>20</v>
      </c>
      <c r="B11" s="27" t="s">
        <v>21</v>
      </c>
      <c r="C11" s="20" t="s">
        <v>22</v>
      </c>
      <c r="D11" s="21">
        <f>'Л-29,1'!D11+'К-30,5'!D11+'П-12'!D11</f>
        <v>6287.00725</v>
      </c>
      <c r="E11" s="21">
        <f>'Л-29,1'!E11+'К-30,5'!E11+'П-12'!E11</f>
        <v>91213.78611100001</v>
      </c>
      <c r="F11" s="21">
        <f>'Л-29,1'!F11+'К-30,5'!F11+'П-12'!F11</f>
        <v>97500.793361</v>
      </c>
      <c r="G11" s="21">
        <f>'Л-29,1'!G11+'К-30,5'!G11+'П-12'!G11</f>
        <v>80975.206855</v>
      </c>
      <c r="H11" s="21">
        <f>'Л-29,1'!H11+'К-30,5'!H11+'П-12'!H11</f>
        <v>-16525.58650599999</v>
      </c>
      <c r="I11" s="21">
        <f>'Л-29,1'!I11+'К-30,5'!I11+'П-12'!I11</f>
        <v>28249.25</v>
      </c>
      <c r="J11" s="21">
        <f>'Л-29,1'!J11+'К-30,5'!J11+'П-12'!J11</f>
        <v>92179.397</v>
      </c>
      <c r="K11" s="21">
        <f>'Л-29,1'!K11+'К-30,5'!K11+'П-12'!K11</f>
        <v>112620.68000000001</v>
      </c>
      <c r="L11" s="21">
        <f>'Л-29,1'!L11+'К-30,5'!L11+'П-12'!L11</f>
        <v>-7807.969</v>
      </c>
      <c r="M11" s="24"/>
      <c r="N11" s="24"/>
      <c r="O11" s="24"/>
      <c r="P11" s="24"/>
      <c r="Q11" s="24"/>
    </row>
    <row r="12" spans="1:17" s="25" customFormat="1" ht="12">
      <c r="A12" s="26" t="s">
        <v>23</v>
      </c>
      <c r="B12" s="27" t="s">
        <v>24</v>
      </c>
      <c r="C12" s="20" t="s">
        <v>22</v>
      </c>
      <c r="D12" s="21">
        <f>'Л-29,1'!D12+'К-30,5'!D12+'П-12'!D12</f>
        <v>7642.290249999999</v>
      </c>
      <c r="E12" s="21">
        <f>'Л-29,1'!E12+'К-30,5'!E12+'П-12'!E12</f>
        <v>130133.751252</v>
      </c>
      <c r="F12" s="21">
        <f>'Л-29,1'!F12+'К-30,5'!F12+'П-12'!F12</f>
        <v>137776.041502</v>
      </c>
      <c r="G12" s="21">
        <f>'Л-29,1'!G12+'К-30,5'!G12+'П-12'!G12</f>
        <v>114203.89753700001</v>
      </c>
      <c r="H12" s="21">
        <f>'Л-29,1'!H12+'К-30,5'!H12+'П-12'!H12</f>
        <v>-23572.143965000003</v>
      </c>
      <c r="I12" s="21">
        <f>'Л-29,1'!I12+'К-30,5'!I12+'П-12'!I12</f>
        <v>38296.21</v>
      </c>
      <c r="J12" s="21">
        <f>'Л-29,1'!J12+'К-30,5'!J12+'П-12'!J12</f>
        <v>131771.491</v>
      </c>
      <c r="K12" s="21">
        <f>'Л-29,1'!K12+'К-30,5'!K12+'П-12'!K12</f>
        <v>160966.1</v>
      </c>
      <c r="L12" s="21">
        <f>'Л-29,1'!L12+'К-30,5'!L12+'П-12'!L12</f>
        <v>-9101.597</v>
      </c>
      <c r="M12" s="24"/>
      <c r="N12" s="24"/>
      <c r="O12" s="24"/>
      <c r="P12" s="24"/>
      <c r="Q12" s="24"/>
    </row>
    <row r="13" spans="1:17" s="25" customFormat="1" ht="12">
      <c r="A13" s="28" t="s">
        <v>25</v>
      </c>
      <c r="B13" s="19" t="s">
        <v>26</v>
      </c>
      <c r="C13" s="29" t="s">
        <v>22</v>
      </c>
      <c r="D13" s="21">
        <f>'Л-29,1'!D13+'К-30,5'!D13+'П-12'!D13</f>
        <v>6211.71375</v>
      </c>
      <c r="E13" s="21">
        <f>'Л-29,1'!E13+'К-30,5'!E13+'П-12'!E13</f>
        <v>82150.185843</v>
      </c>
      <c r="F13" s="21">
        <f>'Л-29,1'!F13+'К-30,5'!F13+'П-12'!F13</f>
        <v>88361.899593</v>
      </c>
      <c r="G13" s="21">
        <f>'Л-29,1'!G13+'К-30,5'!G13+'П-12'!G13</f>
        <v>68582.734519</v>
      </c>
      <c r="H13" s="21">
        <f>'Л-29,1'!H13+'К-30,5'!H13+'П-12'!H13</f>
        <v>-19779.165073999993</v>
      </c>
      <c r="I13" s="21">
        <f>'Л-29,1'!I13+'К-30,5'!I13+'П-12'!I13</f>
        <v>15374.97</v>
      </c>
      <c r="J13" s="21">
        <f>'Л-29,1'!J13+'К-30,5'!J13+'П-12'!J13</f>
        <v>118506</v>
      </c>
      <c r="K13" s="21">
        <f>'Л-29,1'!K13+'К-30,5'!K13+'П-12'!K13</f>
        <v>65186</v>
      </c>
      <c r="L13" s="21">
        <f>'Л-29,1'!L13+'К-30,5'!L13+'П-12'!L13</f>
        <v>-68694.97</v>
      </c>
      <c r="M13" s="24"/>
      <c r="N13" s="24"/>
      <c r="O13" s="24"/>
      <c r="P13" s="24"/>
      <c r="Q13" s="24"/>
    </row>
    <row r="14" spans="1:17" s="25" customFormat="1" ht="12">
      <c r="A14" s="26" t="s">
        <v>28</v>
      </c>
      <c r="B14" s="30" t="s">
        <v>29</v>
      </c>
      <c r="C14" s="20" t="s">
        <v>22</v>
      </c>
      <c r="D14" s="21">
        <f>'Л-29,1'!D14+'К-30,5'!D14+'П-12'!D14</f>
        <v>5628.189125000001</v>
      </c>
      <c r="E14" s="21">
        <f>'Л-29,1'!E14+'К-30,5'!E14+'П-12'!E14</f>
        <v>57245.044616</v>
      </c>
      <c r="F14" s="21">
        <f>'Л-29,1'!F14+'К-30,5'!F14+'П-12'!F14</f>
        <v>62873.233741</v>
      </c>
      <c r="G14" s="21">
        <f>'Л-29,1'!G14+'К-30,5'!G14+'П-12'!G14</f>
        <v>47449.619599000005</v>
      </c>
      <c r="H14" s="21">
        <f>'Л-29,1'!H14+'К-30,5'!H14+'П-12'!H14</f>
        <v>-15423.614141999991</v>
      </c>
      <c r="I14" s="21">
        <f>'Л-29,1'!I14+'К-30,5'!I14+'П-12'!I14</f>
        <v>15739.63</v>
      </c>
      <c r="J14" s="21">
        <f>'Л-29,1'!J14+'К-30,5'!J14+'П-12'!J14</f>
        <v>57825.310000000005</v>
      </c>
      <c r="K14" s="21">
        <f>'Л-29,1'!K14+'К-30,5'!K14+'П-12'!K14</f>
        <v>66819.59</v>
      </c>
      <c r="L14" s="21">
        <f>'Л-29,1'!L14+'К-30,5'!L14+'П-12'!L14</f>
        <v>-6745.3460000000005</v>
      </c>
      <c r="M14" s="24"/>
      <c r="N14" s="24"/>
      <c r="O14" s="24"/>
      <c r="P14" s="24"/>
      <c r="Q14" s="24"/>
    </row>
    <row r="15" spans="1:17" s="25" customFormat="1" ht="12">
      <c r="A15" s="26" t="s">
        <v>30</v>
      </c>
      <c r="B15" s="30" t="s">
        <v>31</v>
      </c>
      <c r="C15" s="20" t="s">
        <v>22</v>
      </c>
      <c r="D15" s="21">
        <f>'Л-29,1'!D15+'К-30,5'!D15+'П-12'!D15</f>
        <v>36931.46175</v>
      </c>
      <c r="E15" s="21">
        <f>'Л-29,1'!E15+'К-30,5'!E15+'П-12'!E15</f>
        <v>371771.273689</v>
      </c>
      <c r="F15" s="21">
        <f>'Л-29,1'!F15+'К-30,5'!F15+'П-12'!F15</f>
        <v>408702.735439</v>
      </c>
      <c r="G15" s="21">
        <f>'Л-29,1'!G15+'К-30,5'!G15+'П-12'!G15</f>
        <v>310642.370032</v>
      </c>
      <c r="H15" s="21">
        <f>'Л-29,1'!H15+'К-30,5'!H15+'П-12'!H15</f>
        <v>-98060.365407</v>
      </c>
      <c r="I15" s="21">
        <f>'Л-29,1'!I15+'К-30,5'!I15+'П-12'!I15</f>
        <v>96168.82</v>
      </c>
      <c r="J15" s="21">
        <f>'Л-29,1'!J15+'К-30,5'!J15+'П-12'!J15</f>
        <v>375695.565</v>
      </c>
      <c r="K15" s="21">
        <f>'Л-29,1'!K15+'К-30,5'!K15+'П-12'!K15</f>
        <v>730809.9099999999</v>
      </c>
      <c r="L15" s="21">
        <f>'Л-29,1'!L15+'К-30,5'!L15+'П-12'!L15</f>
        <v>258945.52499999997</v>
      </c>
      <c r="M15" s="24"/>
      <c r="N15" s="24"/>
      <c r="O15" s="24"/>
      <c r="P15" s="24"/>
      <c r="Q15" s="24"/>
    </row>
    <row r="16" spans="1:17" s="25" customFormat="1" ht="12">
      <c r="A16" s="28" t="s">
        <v>32</v>
      </c>
      <c r="B16" s="19" t="s">
        <v>75</v>
      </c>
      <c r="C16" s="20" t="s">
        <v>76</v>
      </c>
      <c r="D16" s="21">
        <f>'Л-29,1'!D16+'К-30,5'!D16+'П-12'!D16</f>
        <v>0</v>
      </c>
      <c r="E16" s="21">
        <f>'Л-29,1'!E16+'К-30,5'!E16+'П-12'!E16</f>
        <v>129595.78985399999</v>
      </c>
      <c r="F16" s="21">
        <f>'Л-29,1'!F16+'К-30,5'!F16+'П-12'!F16</f>
        <v>129595.78985399999</v>
      </c>
      <c r="G16" s="21">
        <f>'Л-29,1'!G16+'К-30,5'!G16+'П-12'!G16</f>
        <v>119999.281715</v>
      </c>
      <c r="H16" s="21">
        <f>'Л-29,1'!H16+'К-30,5'!H16+'П-12'!H16</f>
        <v>-9596.508138999987</v>
      </c>
      <c r="I16" s="21">
        <f>'Л-29,1'!I16+'К-30,5'!I16+'П-12'!I16</f>
        <v>0</v>
      </c>
      <c r="J16" s="21">
        <f>'Л-29,1'!J16+'К-30,5'!J16+'П-12'!J16</f>
        <v>129400.58</v>
      </c>
      <c r="K16" s="21">
        <f>'Л-29,1'!K16+'К-30,5'!K16+'П-12'!K16</f>
        <v>56333.01</v>
      </c>
      <c r="L16" s="21">
        <f>'Л-29,1'!L16+'К-30,5'!L16+'П-12'!L16</f>
        <v>-73067.57</v>
      </c>
      <c r="M16" s="24"/>
      <c r="N16" s="24"/>
      <c r="O16" s="24"/>
      <c r="P16" s="24"/>
      <c r="Q16" s="24"/>
    </row>
    <row r="17" spans="1:17" s="25" customFormat="1" ht="12">
      <c r="A17" s="28" t="s">
        <v>35</v>
      </c>
      <c r="B17" s="19" t="s">
        <v>33</v>
      </c>
      <c r="C17" s="20" t="s">
        <v>34</v>
      </c>
      <c r="D17" s="21">
        <f>'Л-29,1'!D17+'К-30,5'!D17+'П-12'!D17</f>
        <v>0</v>
      </c>
      <c r="E17" s="21">
        <f>'Л-29,1'!E17+'К-30,5'!E17+'П-12'!E17</f>
        <v>12014.176597000001</v>
      </c>
      <c r="F17" s="21">
        <f>'Л-29,1'!F17+'К-30,5'!F17+'П-12'!F17</f>
        <v>12014.176597000001</v>
      </c>
      <c r="G17" s="21">
        <f>'Л-29,1'!G17+'К-30,5'!G17+'П-12'!G17</f>
        <v>10982.957021</v>
      </c>
      <c r="H17" s="21">
        <f>'Л-29,1'!H17+'К-30,5'!H17+'П-12'!H17</f>
        <v>-1031.2195760000013</v>
      </c>
      <c r="I17" s="21">
        <f>'Л-29,1'!I17+'К-30,5'!I17+'П-12'!I17</f>
        <v>0</v>
      </c>
      <c r="J17" s="21">
        <f>'Л-29,1'!J17+'К-30,5'!J17+'П-12'!J17</f>
        <v>3444</v>
      </c>
      <c r="K17" s="21">
        <f>'Л-29,1'!K17+'К-30,5'!K17+'П-12'!K17</f>
        <v>1355.17</v>
      </c>
      <c r="L17" s="21">
        <f>'Л-29,1'!L17+'К-30,5'!L17+'П-12'!L17</f>
        <v>-2088.83</v>
      </c>
      <c r="M17" s="24"/>
      <c r="N17" s="24"/>
      <c r="O17" s="24"/>
      <c r="P17" s="24"/>
      <c r="Q17" s="24"/>
    </row>
    <row r="18" spans="1:17" s="25" customFormat="1" ht="12">
      <c r="A18" s="28"/>
      <c r="B18" s="19" t="s">
        <v>115</v>
      </c>
      <c r="C18" s="20" t="s">
        <v>77</v>
      </c>
      <c r="D18" s="21">
        <f>'Л-29,1'!D18+'К-30,5'!D18+'П-12'!D18</f>
        <v>3915.2619999999997</v>
      </c>
      <c r="E18" s="21">
        <f>'Л-29,1'!E18+'К-30,5'!E18+'П-12'!E18</f>
        <v>27763.686222999997</v>
      </c>
      <c r="F18" s="21">
        <f>'Л-29,1'!F18+'К-30,5'!F18+'П-12'!F18</f>
        <v>31678.948222999996</v>
      </c>
      <c r="G18" s="21">
        <f>'Л-29,1'!G18+'К-30,5'!G18+'П-12'!G18</f>
        <v>28370.54</v>
      </c>
      <c r="H18" s="21">
        <f>'Л-29,1'!H18+'К-30,5'!H18+'П-12'!H18</f>
        <v>-3308.408222999995</v>
      </c>
      <c r="I18" s="21">
        <f>'Л-29,1'!I18+'К-30,5'!I18+'П-12'!I18</f>
        <v>1950</v>
      </c>
      <c r="J18" s="21">
        <f>'Л-29,1'!J18+'К-30,5'!J18+'П-12'!J18</f>
        <v>24600</v>
      </c>
      <c r="K18" s="21">
        <f>'Л-29,1'!K18+'К-30,5'!K18+'П-12'!K18</f>
        <v>20400</v>
      </c>
      <c r="L18" s="21">
        <f>'Л-29,1'!L18+'К-30,5'!L18+'П-12'!L18</f>
        <v>-6150</v>
      </c>
      <c r="M18" s="24"/>
      <c r="N18" s="24"/>
      <c r="O18" s="24"/>
      <c r="P18" s="24"/>
      <c r="Q18" s="24"/>
    </row>
    <row r="19" spans="1:17" s="25" customFormat="1" ht="12">
      <c r="A19" s="28" t="s">
        <v>86</v>
      </c>
      <c r="B19" s="19" t="s">
        <v>38</v>
      </c>
      <c r="C19" s="29" t="s">
        <v>34</v>
      </c>
      <c r="D19" s="21">
        <f>'Л-29,1'!D19+'К-30,5'!D19+'П-12'!D19</f>
        <v>0</v>
      </c>
      <c r="E19" s="21">
        <f>'Л-29,1'!E19+'К-30,5'!E19+'П-12'!E19</f>
        <v>14850.118112</v>
      </c>
      <c r="F19" s="21">
        <f>'Л-29,1'!F19+'К-30,5'!F19+'П-12'!F19</f>
        <v>14850.118112</v>
      </c>
      <c r="G19" s="21">
        <f>'Л-29,1'!G19+'К-30,5'!G19+'П-12'!G19</f>
        <v>8171.929496000001</v>
      </c>
      <c r="H19" s="21">
        <f>'Л-29,1'!H19+'К-30,5'!H19+'П-12'!H19</f>
        <v>-6678.1886159999995</v>
      </c>
      <c r="I19" s="21">
        <f>'Л-29,1'!I19+'К-30,5'!I19+'П-12'!I19</f>
        <v>0</v>
      </c>
      <c r="J19" s="21">
        <f>'Л-29,1'!J19+'К-30,5'!J19+'П-12'!J19</f>
        <v>0</v>
      </c>
      <c r="K19" s="21">
        <f>'Л-29,1'!K19+'К-30,5'!K19+'П-12'!K19</f>
        <v>0</v>
      </c>
      <c r="L19" s="21">
        <f>'Л-29,1'!L19+'К-30,5'!L19+'П-12'!L19</f>
        <v>0</v>
      </c>
      <c r="M19" s="24"/>
      <c r="N19" s="24"/>
      <c r="O19" s="24"/>
      <c r="P19" s="24"/>
      <c r="Q19" s="24"/>
    </row>
    <row r="20" spans="1:17" s="25" customFormat="1" ht="11.25" customHeight="1">
      <c r="A20" s="18" t="s">
        <v>39</v>
      </c>
      <c r="B20" s="19" t="s">
        <v>40</v>
      </c>
      <c r="C20" s="20" t="s">
        <v>19</v>
      </c>
      <c r="D20" s="21">
        <f>'Л-29,1'!D20+'К-30,5'!D20+'П-12'!D20</f>
        <v>4743.4905</v>
      </c>
      <c r="E20" s="21">
        <f>'Л-29,1'!E20+'К-30,5'!E20+'П-12'!E20</f>
        <v>31963.357258999997</v>
      </c>
      <c r="F20" s="21">
        <f>'Л-29,1'!F20+'К-30,5'!F20+'П-12'!F20</f>
        <v>36706.847759</v>
      </c>
      <c r="G20" s="21">
        <f>'Л-29,1'!G20+'К-30,5'!G20+'П-12'!G20</f>
        <v>23473.37666</v>
      </c>
      <c r="H20" s="21">
        <f>'Л-29,1'!H20+'К-30,5'!H20+'П-12'!H20</f>
        <v>-13233.471099000002</v>
      </c>
      <c r="I20" s="21">
        <f>'Л-29,1'!I20+'К-30,5'!I20+'П-12'!I20</f>
        <v>0</v>
      </c>
      <c r="J20" s="21">
        <f>'Л-29,1'!J20+'К-30,5'!J20+'П-12'!J20</f>
        <v>21672.899999999998</v>
      </c>
      <c r="K20" s="21">
        <f>'Л-29,1'!K20+'К-30,5'!K20+'П-12'!K20</f>
        <v>19327.62</v>
      </c>
      <c r="L20" s="21">
        <f>'Л-29,1'!L20+'К-30,5'!L20+'П-12'!L20</f>
        <v>-2345.28</v>
      </c>
      <c r="M20" s="24"/>
      <c r="N20" s="24"/>
      <c r="O20" s="24"/>
      <c r="P20" s="24"/>
      <c r="Q20" s="24"/>
    </row>
    <row r="21" spans="1:17" s="25" customFormat="1" ht="12">
      <c r="A21" s="28"/>
      <c r="B21" s="19"/>
      <c r="C21" s="20"/>
      <c r="D21" s="21">
        <f>'Л-29,1'!D21+'К-30,5'!D21+'П-12'!D21</f>
        <v>0</v>
      </c>
      <c r="E21" s="21">
        <f>'Л-29,1'!E21+'К-30,5'!E21+'П-12'!E21</f>
        <v>0</v>
      </c>
      <c r="F21" s="21">
        <f>'Л-29,1'!F21+'К-30,5'!F21+'П-12'!F21</f>
        <v>0</v>
      </c>
      <c r="G21" s="21">
        <f>'Л-29,1'!G21+'К-30,5'!G21+'П-12'!G21</f>
        <v>0</v>
      </c>
      <c r="H21" s="21">
        <f>'Л-29,1'!H21+'К-30,5'!H21+'П-12'!H21</f>
        <v>0</v>
      </c>
      <c r="I21" s="21">
        <f>'Л-29,1'!I21+'К-30,5'!I21+'П-12'!I21</f>
        <v>0</v>
      </c>
      <c r="J21" s="21">
        <f>'Л-29,1'!J21+'К-30,5'!J21+'П-12'!J21</f>
        <v>0</v>
      </c>
      <c r="K21" s="21">
        <f>'Л-29,1'!K21+'К-30,5'!K21+'П-12'!K21</f>
        <v>0</v>
      </c>
      <c r="L21" s="21">
        <f>'Л-29,1'!L21+'К-30,5'!L21+'П-12'!L21</f>
        <v>0</v>
      </c>
      <c r="M21" s="24"/>
      <c r="N21" s="24"/>
      <c r="O21" s="24"/>
      <c r="P21" s="24"/>
      <c r="Q21" s="24"/>
    </row>
    <row r="22" spans="1:17" s="42" customFormat="1" ht="12">
      <c r="A22" s="31"/>
      <c r="B22" s="31" t="s">
        <v>43</v>
      </c>
      <c r="C22" s="32"/>
      <c r="D22" s="33">
        <f>'Л-29,1'!D22+'К-30,5'!D22+'П-12'!D22</f>
        <v>188233.75</v>
      </c>
      <c r="E22" s="33">
        <f>'Л-29,1'!E22+'К-30,5'!E22+'П-12'!E22</f>
        <v>2303544.3500000006</v>
      </c>
      <c r="F22" s="33">
        <f>'Л-29,1'!F22+'К-30,5'!F22+'П-12'!F22</f>
        <v>2491778.1</v>
      </c>
      <c r="G22" s="33">
        <f>'Л-29,1'!G22+'К-30,5'!G22+'П-12'!G22</f>
        <v>1943554.6000000003</v>
      </c>
      <c r="H22" s="33">
        <f>'Л-29,1'!H22+'К-30,5'!H22+'П-12'!H22</f>
        <v>-548223.5</v>
      </c>
      <c r="I22" s="33">
        <f>'Л-29,1'!I22+'К-30,5'!I22+'П-12'!I22</f>
        <v>296899.86</v>
      </c>
      <c r="J22" s="33">
        <f>'Л-29,1'!J22+'К-30,5'!J22+'П-12'!J22</f>
        <v>2285870.9030000004</v>
      </c>
      <c r="K22" s="33">
        <f>'Л-29,1'!K22+'К-30,5'!K22+'П-12'!K22</f>
        <v>1850779.3900000001</v>
      </c>
      <c r="L22" s="33">
        <f>'Л-29,1'!L22+'К-30,5'!L22+'П-12'!L22</f>
        <v>-731991.367</v>
      </c>
      <c r="M22" s="41"/>
      <c r="N22" s="41"/>
      <c r="O22" s="41"/>
      <c r="P22" s="41"/>
      <c r="Q22" s="41"/>
    </row>
    <row r="23" spans="1:17" s="35" customFormat="1" ht="12">
      <c r="A23" s="16"/>
      <c r="B23" s="16"/>
      <c r="C23" s="20"/>
      <c r="D23" s="21">
        <f>'Л-29,1'!D23+'К-30,5'!D23+'П-12'!D23</f>
        <v>0</v>
      </c>
      <c r="E23" s="21">
        <f>'Л-29,1'!E23+'К-30,5'!E23+'П-12'!E23</f>
        <v>0</v>
      </c>
      <c r="F23" s="21">
        <f>'Л-29,1'!F23+'К-30,5'!F23+'П-12'!F23</f>
        <v>0</v>
      </c>
      <c r="G23" s="21">
        <f>'Л-29,1'!G23+'К-30,5'!G23+'П-12'!G23</f>
        <v>0</v>
      </c>
      <c r="H23" s="21">
        <f>'Л-29,1'!H23+'К-30,5'!H23+'П-12'!H23</f>
        <v>0</v>
      </c>
      <c r="I23" s="21">
        <f>'Л-29,1'!I23+'К-30,5'!I23+'П-12'!I23</f>
        <v>0</v>
      </c>
      <c r="J23" s="21">
        <f>'Л-29,1'!J23+'К-30,5'!J23+'П-12'!J23</f>
        <v>0</v>
      </c>
      <c r="K23" s="21">
        <f>'Л-29,1'!K23+'К-30,5'!K23+'П-12'!K23</f>
        <v>0</v>
      </c>
      <c r="L23" s="21">
        <f>'Л-29,1'!L23+'К-30,5'!L23+'П-12'!L23</f>
        <v>0</v>
      </c>
      <c r="M23" s="34"/>
      <c r="N23" s="34"/>
      <c r="O23" s="34"/>
      <c r="P23" s="34"/>
      <c r="Q23" s="34"/>
    </row>
    <row r="24" spans="1:17" s="25" customFormat="1" ht="12">
      <c r="A24" s="15">
        <v>2</v>
      </c>
      <c r="B24" s="15" t="s">
        <v>44</v>
      </c>
      <c r="C24" s="36" t="s">
        <v>45</v>
      </c>
      <c r="D24" s="21">
        <f>'Л-29,1'!D24+'К-30,5'!D24+'П-12'!D24</f>
        <v>7929.57</v>
      </c>
      <c r="E24" s="21">
        <f>'Л-29,1'!E24+'К-30,5'!E24+'П-12'!E24</f>
        <v>102622.48000000001</v>
      </c>
      <c r="F24" s="21">
        <f>'Л-29,1'!F24+'К-30,5'!F24+'П-12'!F24</f>
        <v>110552.05</v>
      </c>
      <c r="G24" s="21">
        <f>'Л-29,1'!G24+'К-30,5'!G24+'П-12'!G24</f>
        <v>117240.23000000001</v>
      </c>
      <c r="H24" s="21">
        <f>'Л-29,1'!H24+'К-30,5'!H24+'П-12'!H24</f>
        <v>6688.180000000008</v>
      </c>
      <c r="I24" s="21">
        <f>'Л-29,1'!I24+'К-30,5'!I24+'П-12'!I24</f>
        <v>7929.57</v>
      </c>
      <c r="J24" s="21">
        <f>'Л-29,1'!J24+'К-30,5'!J24+'П-12'!J24</f>
        <v>86108.01999999999</v>
      </c>
      <c r="K24" s="21">
        <f>'Л-29,1'!K24+'К-30,5'!K24+'П-12'!K24</f>
        <v>80496.18</v>
      </c>
      <c r="L24" s="21">
        <f>'Л-29,1'!L24+'К-30,5'!L24+'П-12'!L24</f>
        <v>-13541.410000000003</v>
      </c>
      <c r="M24" s="24"/>
      <c r="N24" s="24"/>
      <c r="O24" s="24"/>
      <c r="P24" s="24"/>
      <c r="Q24" s="24"/>
    </row>
    <row r="25" spans="1:17" s="25" customFormat="1" ht="12">
      <c r="A25" s="15">
        <v>3</v>
      </c>
      <c r="B25" s="15" t="s">
        <v>46</v>
      </c>
      <c r="C25" s="36" t="s">
        <v>47</v>
      </c>
      <c r="D25" s="21">
        <f>'Л-29,1'!D25+'К-30,5'!D25+'П-12'!D25</f>
        <v>6248.39</v>
      </c>
      <c r="E25" s="21">
        <f>'Л-29,1'!E25+'К-30,5'!E25+'П-12'!E25</f>
        <v>112735.35999999999</v>
      </c>
      <c r="F25" s="21">
        <f>'Л-29,1'!F25+'К-30,5'!F25+'П-12'!F25</f>
        <v>118983.75</v>
      </c>
      <c r="G25" s="21">
        <f>'Л-29,1'!G25+'К-30,5'!G25+'П-12'!G25</f>
        <v>96227.18999999999</v>
      </c>
      <c r="H25" s="21">
        <f>'Л-29,1'!H25+'К-30,5'!H25+'П-12'!H25</f>
        <v>-22756.56</v>
      </c>
      <c r="I25" s="21">
        <f>'Л-29,1'!I25+'К-30,5'!I25+'П-12'!I25</f>
        <v>6248.39</v>
      </c>
      <c r="J25" s="21">
        <f>'Л-29,1'!J25+'К-30,5'!J25+'П-12'!J25</f>
        <v>128574.48</v>
      </c>
      <c r="K25" s="21">
        <f>'Л-29,1'!K25+'К-30,5'!K25+'П-12'!K25</f>
        <v>82742</v>
      </c>
      <c r="L25" s="21">
        <f>'Л-29,1'!L25+'К-30,5'!L25+'П-12'!L25</f>
        <v>-52080.869999999995</v>
      </c>
      <c r="M25" s="24"/>
      <c r="N25" s="24"/>
      <c r="O25" s="24"/>
      <c r="P25" s="24"/>
      <c r="Q25" s="24"/>
    </row>
    <row r="26" spans="1:17" s="25" customFormat="1" ht="12">
      <c r="A26" s="15">
        <v>4</v>
      </c>
      <c r="B26" s="15" t="s">
        <v>48</v>
      </c>
      <c r="C26" s="36" t="s">
        <v>45</v>
      </c>
      <c r="D26" s="21">
        <f>'Л-29,1'!D26+'К-30,5'!D26+'П-12'!D26</f>
        <v>0</v>
      </c>
      <c r="E26" s="21">
        <f>'Л-29,1'!E26+'К-30,5'!E26+'П-12'!E26</f>
        <v>95170.26</v>
      </c>
      <c r="F26" s="21">
        <f>'Л-29,1'!F26+'К-30,5'!F26+'П-12'!F26</f>
        <v>95170.26</v>
      </c>
      <c r="G26" s="21">
        <f>'Л-29,1'!G26+'К-30,5'!G26+'П-12'!G26</f>
        <v>88692.95</v>
      </c>
      <c r="H26" s="21">
        <f>'Л-29,1'!H26+'К-30,5'!H26+'П-12'!H26</f>
        <v>-6477.309999999998</v>
      </c>
      <c r="I26" s="21">
        <f>'Л-29,1'!I26+'К-30,5'!I26+'П-12'!I26</f>
        <v>0</v>
      </c>
      <c r="J26" s="21">
        <f>'Л-29,1'!J26+'К-30,5'!J26+'П-12'!J26</f>
        <v>78272.18</v>
      </c>
      <c r="K26" s="21">
        <f>'Л-29,1'!K26+'К-30,5'!K26+'П-12'!K26</f>
        <v>66995.86</v>
      </c>
      <c r="L26" s="21">
        <f>'Л-29,1'!L26+'К-30,5'!L26+'П-12'!L26</f>
        <v>-11276.319999999992</v>
      </c>
      <c r="M26" s="24"/>
      <c r="N26" s="24"/>
      <c r="O26" s="24"/>
      <c r="P26" s="24"/>
      <c r="Q26" s="24"/>
    </row>
    <row r="27" spans="1:17" s="25" customFormat="1" ht="11.25" customHeight="1">
      <c r="A27" s="15">
        <v>5</v>
      </c>
      <c r="B27" s="15" t="s">
        <v>78</v>
      </c>
      <c r="C27" s="36" t="s">
        <v>47</v>
      </c>
      <c r="D27" s="21">
        <f>'Л-29,1'!D27+'К-30,5'!D27+'П-12'!D27</f>
        <v>46626.48</v>
      </c>
      <c r="E27" s="21">
        <f>'Л-29,1'!E27+'К-30,5'!E27+'П-12'!E27</f>
        <v>341147.63</v>
      </c>
      <c r="F27" s="21">
        <f>'Л-29,1'!F27+'К-30,5'!F27+'П-12'!F27</f>
        <v>387774.11</v>
      </c>
      <c r="G27" s="21">
        <f>'Л-29,1'!G27+'К-30,5'!G27+'П-12'!G27</f>
        <v>247123.31</v>
      </c>
      <c r="H27" s="21">
        <f>'Л-29,1'!H27+'К-30,5'!H27+'П-12'!H27</f>
        <v>-140650.8</v>
      </c>
      <c r="I27" s="21">
        <f>'Л-29,1'!I27+'К-30,5'!I27+'П-12'!I27</f>
        <v>46626.48</v>
      </c>
      <c r="J27" s="21">
        <f>'Л-29,1'!J27+'К-30,5'!J27+'П-12'!J27</f>
        <v>335340.14</v>
      </c>
      <c r="K27" s="21">
        <f>'Л-29,1'!K27+'К-30,5'!K27+'П-12'!K27</f>
        <v>283087.86</v>
      </c>
      <c r="L27" s="21">
        <f>'Л-29,1'!L27+'К-30,5'!L27+'П-12'!L27</f>
        <v>-98878.76000000001</v>
      </c>
      <c r="M27" s="24"/>
      <c r="N27" s="24"/>
      <c r="O27" s="24"/>
      <c r="P27" s="24"/>
      <c r="Q27" s="24"/>
    </row>
    <row r="28" spans="1:17" s="25" customFormat="1" ht="11.25" customHeight="1">
      <c r="A28" s="15"/>
      <c r="B28" s="15" t="s">
        <v>116</v>
      </c>
      <c r="C28" s="29" t="s">
        <v>34</v>
      </c>
      <c r="D28" s="21">
        <f>'Л-29,1'!D28+'К-30,5'!D28+'П-12'!D28</f>
        <v>0</v>
      </c>
      <c r="E28" s="21">
        <f>'Л-29,1'!E28+'К-30,5'!E28+'П-12'!E28</f>
        <v>6947.41</v>
      </c>
      <c r="F28" s="21">
        <f>'Л-29,1'!F28+'К-30,5'!F28+'П-12'!F28</f>
        <v>6947.41</v>
      </c>
      <c r="G28" s="21">
        <f>'Л-29,1'!G28+'К-30,5'!G28+'П-12'!G28</f>
        <v>6193.37</v>
      </c>
      <c r="H28" s="21">
        <f>'Л-29,1'!H28+'К-30,5'!H28+'П-12'!H28</f>
        <v>-754.04</v>
      </c>
      <c r="I28" s="21">
        <f>'Л-29,1'!I28+'К-30,5'!I28+'П-12'!I28</f>
        <v>0</v>
      </c>
      <c r="J28" s="21">
        <f>'Л-29,1'!J28+'К-30,5'!J28+'П-12'!J28</f>
        <v>6947.41</v>
      </c>
      <c r="K28" s="21">
        <f>'Л-29,1'!K28+'К-30,5'!K28+'П-12'!K28</f>
        <v>1448</v>
      </c>
      <c r="L28" s="21">
        <f>'Л-29,1'!L28+'К-30,5'!L28+'П-12'!L28</f>
        <v>-5499.41</v>
      </c>
      <c r="M28" s="24"/>
      <c r="N28" s="24"/>
      <c r="O28" s="24"/>
      <c r="P28" s="24"/>
      <c r="Q28" s="24"/>
    </row>
    <row r="29" spans="1:17" s="25" customFormat="1" ht="12">
      <c r="A29" s="15">
        <v>6</v>
      </c>
      <c r="B29" s="15" t="s">
        <v>49</v>
      </c>
      <c r="C29" s="36"/>
      <c r="D29" s="21">
        <f>'Л-29,1'!D29+'К-30,5'!D29+'П-12'!D29</f>
        <v>0</v>
      </c>
      <c r="E29" s="21">
        <f>'Л-29,1'!E29+'К-30,5'!E29+'П-12'!E29</f>
        <v>0</v>
      </c>
      <c r="F29" s="21">
        <f>'Л-29,1'!F29+'К-30,5'!F29+'П-12'!F29</f>
        <v>0</v>
      </c>
      <c r="G29" s="21">
        <f>'Л-29,1'!G29+'К-30,5'!G29+'П-12'!G29</f>
        <v>25953</v>
      </c>
      <c r="H29" s="21">
        <f>'Л-29,1'!H29+'К-30,5'!H29+'П-12'!H29</f>
        <v>25953</v>
      </c>
      <c r="I29" s="21">
        <f>'Л-29,1'!I29+'К-30,5'!I29+'П-12'!I29</f>
        <v>0</v>
      </c>
      <c r="J29" s="21">
        <f>'Л-29,1'!J29+'К-30,5'!J29+'П-12'!J29</f>
        <v>0</v>
      </c>
      <c r="K29" s="21">
        <f>'Л-29,1'!K29+'К-30,5'!K29+'П-12'!K29</f>
        <v>0</v>
      </c>
      <c r="L29" s="21">
        <f>'Л-29,1'!L29+'К-30,5'!L29+'П-12'!L29</f>
        <v>0</v>
      </c>
      <c r="M29" s="24"/>
      <c r="N29" s="24"/>
      <c r="O29" s="24"/>
      <c r="P29" s="24"/>
      <c r="Q29" s="24"/>
    </row>
    <row r="30" spans="1:17" s="25" customFormat="1" ht="12">
      <c r="A30" s="28"/>
      <c r="B30" s="37"/>
      <c r="C30" s="37"/>
      <c r="D30" s="21">
        <f>'Л-29,1'!D30+'К-30,5'!D30+'П-12'!D30</f>
        <v>0</v>
      </c>
      <c r="E30" s="21">
        <f>'Л-29,1'!E30+'К-30,5'!E30+'П-12'!E30</f>
        <v>0</v>
      </c>
      <c r="F30" s="21">
        <f>'Л-29,1'!F30+'К-30,5'!F30+'П-12'!F30</f>
        <v>0</v>
      </c>
      <c r="G30" s="21">
        <f>'Л-29,1'!G30+'К-30,5'!G30+'П-12'!G30</f>
        <v>0</v>
      </c>
      <c r="H30" s="21">
        <f>'Л-29,1'!H30+'К-30,5'!H30+'П-12'!H30</f>
        <v>0</v>
      </c>
      <c r="I30" s="21">
        <f>'Л-29,1'!I30+'К-30,5'!I30+'П-12'!I30</f>
        <v>0</v>
      </c>
      <c r="J30" s="21">
        <f>'Л-29,1'!J30+'К-30,5'!J30+'П-12'!J30</f>
        <v>0</v>
      </c>
      <c r="K30" s="21">
        <f>'Л-29,1'!K30+'К-30,5'!K30+'П-12'!K30</f>
        <v>0</v>
      </c>
      <c r="L30" s="21">
        <f>'Л-29,1'!L30+'К-30,5'!L30+'П-12'!L30</f>
        <v>0</v>
      </c>
      <c r="M30" s="24"/>
      <c r="N30" s="24"/>
      <c r="O30" s="24"/>
      <c r="P30" s="24"/>
      <c r="Q30" s="24"/>
    </row>
    <row r="31" spans="1:17" s="42" customFormat="1" ht="12">
      <c r="A31" s="32"/>
      <c r="B31" s="39" t="s">
        <v>50</v>
      </c>
      <c r="C31" s="39"/>
      <c r="D31" s="33">
        <f>'Л-29,1'!D31+'К-30,5'!D31+'П-12'!D31</f>
        <v>249038.19000000003</v>
      </c>
      <c r="E31" s="33">
        <f>'Л-29,1'!E31+'К-30,5'!E31+'П-12'!E31</f>
        <v>2962167.49</v>
      </c>
      <c r="F31" s="33">
        <f>'Л-29,1'!F31+'К-30,5'!F31+'П-12'!F31</f>
        <v>3211205.6799999997</v>
      </c>
      <c r="G31" s="33">
        <f>'Л-29,1'!G31+'К-30,5'!G31+'П-12'!G31</f>
        <v>2524984.6500000004</v>
      </c>
      <c r="H31" s="33">
        <f>'Л-29,1'!H31+'К-30,5'!H31+'П-12'!H31</f>
        <v>-686221.03</v>
      </c>
      <c r="I31" s="33">
        <f>'Л-29,1'!I31+'К-30,5'!I31+'П-12'!I31</f>
        <v>357704.3</v>
      </c>
      <c r="J31" s="33">
        <f>'Л-29,1'!J31+'К-30,5'!J31+'П-12'!J31</f>
        <v>2921113.133</v>
      </c>
      <c r="K31" s="33">
        <f>'Л-29,1'!K31+'К-30,5'!K31+'П-12'!K31</f>
        <v>2365549.29</v>
      </c>
      <c r="L31" s="33">
        <f>'Л-29,1'!L31+'К-30,5'!L31+'П-12'!L31</f>
        <v>-913268.1369999999</v>
      </c>
      <c r="M31" s="41"/>
      <c r="N31" s="41"/>
      <c r="O31" s="41"/>
      <c r="P31" s="41"/>
      <c r="Q31" s="41"/>
    </row>
    <row r="32" spans="1:17" s="35" customFormat="1" ht="12">
      <c r="A32" s="26"/>
      <c r="B32" s="38"/>
      <c r="C32" s="38"/>
      <c r="D32" s="21">
        <f>'Л-29,1'!D32+'К-30,5'!D32+'П-12'!D32</f>
        <v>0</v>
      </c>
      <c r="E32" s="21">
        <f>'Л-29,1'!E32+'К-30,5'!E32+'П-12'!E32</f>
        <v>0</v>
      </c>
      <c r="F32" s="21">
        <f>'Л-29,1'!F32+'К-30,5'!F32+'П-12'!F32</f>
        <v>0</v>
      </c>
      <c r="G32" s="21">
        <f>'Л-29,1'!G32+'К-30,5'!G32+'П-12'!G32</f>
        <v>0</v>
      </c>
      <c r="H32" s="21">
        <f>'Л-29,1'!H32+'К-30,5'!H32+'П-12'!H32</f>
        <v>0</v>
      </c>
      <c r="I32" s="21">
        <f>'Л-29,1'!I32+'К-30,5'!I32+'П-12'!I32</f>
        <v>0</v>
      </c>
      <c r="J32" s="21">
        <f>'Л-29,1'!J32+'К-30,5'!J32+'П-12'!J32</f>
        <v>0</v>
      </c>
      <c r="K32" s="21">
        <f>'Л-29,1'!K32+'К-30,5'!K32+'П-12'!K32</f>
        <v>0</v>
      </c>
      <c r="L32" s="21">
        <f>'Л-29,1'!L32+'К-30,5'!L32+'П-12'!L32</f>
        <v>0</v>
      </c>
      <c r="M32" s="34"/>
      <c r="N32" s="34"/>
      <c r="O32" s="34"/>
      <c r="P32" s="34"/>
      <c r="Q32" s="34"/>
    </row>
    <row r="33" spans="1:12" s="45" customFormat="1" ht="12.75" customHeight="1">
      <c r="A33" s="43"/>
      <c r="B33" s="31" t="s">
        <v>51</v>
      </c>
      <c r="C33" s="31"/>
      <c r="D33" s="33">
        <f>'Л-29,1'!D33+'К-30,5'!D33+'П-12'!D33</f>
        <v>0</v>
      </c>
      <c r="E33" s="33">
        <f>'Л-29,1'!E33+'К-30,5'!E33+'П-12'!E33</f>
        <v>234102.51</v>
      </c>
      <c r="F33" s="33">
        <f>'Л-29,1'!F33+'К-30,5'!F33+'П-12'!F33</f>
        <v>234102.51</v>
      </c>
      <c r="G33" s="33">
        <f>'Л-29,1'!G33+'К-30,5'!G33+'П-12'!G33</f>
        <v>0</v>
      </c>
      <c r="H33" s="33">
        <f>'Л-29,1'!H33+'К-30,5'!H33+'П-12'!H33</f>
        <v>-234102.51</v>
      </c>
      <c r="I33" s="33">
        <f>'Л-29,1'!I33+'К-30,5'!I33+'П-12'!I33</f>
        <v>20124</v>
      </c>
      <c r="J33" s="33">
        <f>'Л-29,1'!J33+'К-30,5'!J33+'П-12'!J33</f>
        <v>402312.37</v>
      </c>
      <c r="K33" s="33">
        <f>'Л-29,1'!K33+'К-30,5'!K33+'П-12'!K33</f>
        <v>102733.38</v>
      </c>
      <c r="L33" s="33">
        <f>'Л-29,1'!L33+'К-30,5'!L33+'П-12'!L33</f>
        <v>-319702.99</v>
      </c>
    </row>
    <row r="34" spans="1:12" s="69" customFormat="1" ht="12.75" customHeight="1">
      <c r="A34" s="67"/>
      <c r="B34" s="46" t="s">
        <v>80</v>
      </c>
      <c r="C34" s="15" t="s">
        <v>81</v>
      </c>
      <c r="D34" s="21">
        <f>'Л-29,1'!D34+'К-30,5'!D34+'П-12'!D34</f>
        <v>0</v>
      </c>
      <c r="E34" s="21">
        <f>'Л-29,1'!E34+'К-30,5'!E34+'П-12'!E34</f>
        <v>0</v>
      </c>
      <c r="F34" s="21">
        <f>'Л-29,1'!F34+'К-30,5'!F34+'П-12'!F34</f>
        <v>0</v>
      </c>
      <c r="G34" s="21">
        <f>'Л-29,1'!G34+'К-30,5'!G34+'П-12'!G34</f>
        <v>0</v>
      </c>
      <c r="H34" s="21">
        <f>'Л-29,1'!H34+'К-30,5'!H34+'П-12'!H34</f>
        <v>0</v>
      </c>
      <c r="I34" s="21">
        <f>'Л-29,1'!I34+'К-30,5'!I34+'П-12'!I34</f>
        <v>17132</v>
      </c>
      <c r="J34" s="21">
        <f>'Л-29,1'!J34+'К-30,5'!J34+'П-12'!J34</f>
        <v>0</v>
      </c>
      <c r="K34" s="21">
        <f>'Л-29,1'!K34+'К-30,5'!K34+'П-12'!K34</f>
        <v>0</v>
      </c>
      <c r="L34" s="21">
        <f>'Л-29,1'!L34+'К-30,5'!L34+'П-12'!L34</f>
        <v>-17132</v>
      </c>
    </row>
    <row r="35" spans="1:12" s="69" customFormat="1" ht="12.75" customHeight="1">
      <c r="A35" s="67"/>
      <c r="B35" s="46" t="s">
        <v>72</v>
      </c>
      <c r="C35" s="46" t="s">
        <v>53</v>
      </c>
      <c r="D35" s="21">
        <f>'Л-29,1'!D35+'К-30,5'!D35+'П-12'!D35</f>
        <v>0</v>
      </c>
      <c r="E35" s="21">
        <f>'Л-29,1'!E35+'К-30,5'!E35+'П-12'!E35</f>
        <v>0</v>
      </c>
      <c r="F35" s="21">
        <f>'Л-29,1'!F35+'К-30,5'!F35+'П-12'!F35</f>
        <v>0</v>
      </c>
      <c r="G35" s="21">
        <f>'Л-29,1'!G35+'К-30,5'!G35+'П-12'!G35</f>
        <v>0</v>
      </c>
      <c r="H35" s="21">
        <f>'Л-29,1'!H35+'К-30,5'!H35+'П-12'!H35</f>
        <v>0</v>
      </c>
      <c r="I35" s="21">
        <f>'Л-29,1'!I35+'К-30,5'!I35+'П-12'!I35</f>
        <v>2992</v>
      </c>
      <c r="J35" s="21">
        <f>'Л-29,1'!J35+'К-30,5'!J35+'П-12'!J35</f>
        <v>20944</v>
      </c>
      <c r="K35" s="21">
        <f>'Л-29,1'!K35+'К-30,5'!K35+'П-12'!K35</f>
        <v>20944</v>
      </c>
      <c r="L35" s="21">
        <f>'Л-29,1'!L35+'К-30,5'!L35+'П-12'!L35</f>
        <v>-2992</v>
      </c>
    </row>
    <row r="36" spans="1:12" ht="11.25" customHeight="1">
      <c r="A36" s="16">
        <v>1</v>
      </c>
      <c r="B36" s="46" t="s">
        <v>54</v>
      </c>
      <c r="C36" s="46" t="s">
        <v>55</v>
      </c>
      <c r="D36" s="21">
        <f>'Л-29,1'!D36+'К-30,5'!D36+'П-12'!D36</f>
        <v>0</v>
      </c>
      <c r="E36" s="21">
        <f>'Л-29,1'!E36+'К-30,5'!E36+'П-12'!E36</f>
        <v>0</v>
      </c>
      <c r="F36" s="21">
        <f>'Л-29,1'!F36+'К-30,5'!F36+'П-12'!F36</f>
        <v>0</v>
      </c>
      <c r="G36" s="21">
        <f>'Л-29,1'!G36+'К-30,5'!G36+'П-12'!G36</f>
        <v>0</v>
      </c>
      <c r="H36" s="21">
        <f>'Л-29,1'!H36+'К-30,5'!H36+'П-12'!H36</f>
        <v>0</v>
      </c>
      <c r="I36" s="21">
        <f>'Л-29,1'!I36+'К-30,5'!I36+'П-12'!I36</f>
        <v>0</v>
      </c>
      <c r="J36" s="21">
        <f>'Л-29,1'!J36+'К-30,5'!J36+'П-12'!J36</f>
        <v>58250</v>
      </c>
      <c r="K36" s="21">
        <f>'Л-29,1'!K36+'К-30,5'!K36+'П-12'!K36</f>
        <v>49959.92</v>
      </c>
      <c r="L36" s="21">
        <f>'Л-29,1'!L36+'К-30,5'!L36+'П-12'!L36</f>
        <v>-8290.080000000002</v>
      </c>
    </row>
    <row r="37" spans="1:12" ht="11.25" customHeight="1">
      <c r="A37" s="16"/>
      <c r="B37" s="46" t="s">
        <v>56</v>
      </c>
      <c r="C37" s="46" t="s">
        <v>105</v>
      </c>
      <c r="D37" s="21">
        <f>'Л-29,1'!D37+'К-30,5'!D37+'П-12'!D37</f>
        <v>0</v>
      </c>
      <c r="E37" s="21">
        <f>'Л-29,1'!E37+'К-30,5'!E37+'П-12'!E37</f>
        <v>0</v>
      </c>
      <c r="F37" s="21">
        <f>'Л-29,1'!F37+'К-30,5'!F37+'П-12'!F37</f>
        <v>0</v>
      </c>
      <c r="G37" s="21">
        <f>'Л-29,1'!G37+'К-30,5'!G37+'П-12'!G37</f>
        <v>0</v>
      </c>
      <c r="H37" s="21">
        <f>'Л-29,1'!H37+'К-30,5'!H37+'П-12'!H37</f>
        <v>0</v>
      </c>
      <c r="I37" s="21">
        <f>'Л-29,1'!I37+'К-30,5'!I37+'П-12'!I37</f>
        <v>0</v>
      </c>
      <c r="J37" s="21">
        <f>'Л-29,1'!J37+'К-30,5'!J37+'П-12'!J37</f>
        <v>18000</v>
      </c>
      <c r="K37" s="21">
        <f>'Л-29,1'!K37+'К-30,5'!K37+'П-12'!K37</f>
        <v>18000</v>
      </c>
      <c r="L37" s="21">
        <f>'Л-29,1'!L37+'К-30,5'!L37+'П-12'!L37</f>
        <v>0</v>
      </c>
    </row>
    <row r="38" spans="1:12" ht="11.25" customHeight="1">
      <c r="A38" s="16"/>
      <c r="B38" s="46" t="s">
        <v>78</v>
      </c>
      <c r="C38" s="46" t="s">
        <v>82</v>
      </c>
      <c r="D38" s="21">
        <f>'Л-29,1'!D38+'К-30,5'!D38+'П-12'!D38</f>
        <v>0</v>
      </c>
      <c r="E38" s="21">
        <f>'Л-29,1'!E38+'К-30,5'!E38+'П-12'!E38</f>
        <v>0</v>
      </c>
      <c r="F38" s="21">
        <f>'Л-29,1'!F38+'К-30,5'!F38+'П-12'!F38</f>
        <v>0</v>
      </c>
      <c r="G38" s="21">
        <f>'Л-29,1'!G38+'К-30,5'!G38+'П-12'!G38</f>
        <v>0</v>
      </c>
      <c r="H38" s="21">
        <f>'Л-29,1'!H38+'К-30,5'!H38+'П-12'!H38</f>
        <v>0</v>
      </c>
      <c r="I38" s="21">
        <f>'Л-29,1'!I38+'К-30,5'!I38+'П-12'!I38</f>
        <v>0</v>
      </c>
      <c r="J38" s="21">
        <f>'Л-29,1'!J38+'К-30,5'!J38+'П-12'!J38</f>
        <v>13122.3</v>
      </c>
      <c r="K38" s="21">
        <f>'Л-29,1'!K38+'К-30,5'!K38+'П-12'!K38</f>
        <v>13122.3</v>
      </c>
      <c r="L38" s="21">
        <f>'Л-29,1'!L38+'К-30,5'!L38+'П-12'!L38</f>
        <v>0</v>
      </c>
    </row>
    <row r="39" spans="1:12" ht="11.25" customHeight="1">
      <c r="A39" s="16"/>
      <c r="B39" s="46" t="s">
        <v>110</v>
      </c>
      <c r="C39" s="46" t="s">
        <v>34</v>
      </c>
      <c r="D39" s="21">
        <f>'Л-29,1'!D39+'К-30,5'!D39+'П-12'!D39</f>
        <v>0</v>
      </c>
      <c r="E39" s="21">
        <f>'Л-29,1'!E39+'К-30,5'!E39+'П-12'!E39</f>
        <v>0</v>
      </c>
      <c r="F39" s="21">
        <f>'Л-29,1'!F39+'К-30,5'!F39+'П-12'!F39</f>
        <v>0</v>
      </c>
      <c r="G39" s="21">
        <f>'Л-29,1'!G39+'К-30,5'!G39+'П-12'!G39</f>
        <v>0</v>
      </c>
      <c r="H39" s="21">
        <f>'Л-29,1'!H39+'К-30,5'!H39+'П-12'!H39</f>
        <v>0</v>
      </c>
      <c r="I39" s="21">
        <f>'Л-29,1'!I39+'К-30,5'!I39+'П-12'!I39</f>
        <v>0</v>
      </c>
      <c r="J39" s="21">
        <f>'Л-29,1'!J39+'К-30,5'!J39+'П-12'!J39</f>
        <v>1733.36</v>
      </c>
      <c r="K39" s="21">
        <f>'Л-29,1'!K39+'К-30,5'!K39+'П-12'!K39</f>
        <v>0</v>
      </c>
      <c r="L39" s="21">
        <f>'Л-29,1'!L39+'К-30,5'!L39+'П-12'!L39</f>
        <v>-1733.36</v>
      </c>
    </row>
    <row r="40" spans="1:12" ht="11.25" customHeight="1">
      <c r="A40" s="16"/>
      <c r="B40" s="46" t="s">
        <v>108</v>
      </c>
      <c r="C40" s="46" t="s">
        <v>47</v>
      </c>
      <c r="D40" s="21">
        <f>'Л-29,1'!D40+'К-30,5'!D40+'П-12'!D40</f>
        <v>0</v>
      </c>
      <c r="E40" s="21">
        <f>'Л-29,1'!E40+'К-30,5'!E40+'П-12'!E40</f>
        <v>0</v>
      </c>
      <c r="F40" s="21">
        <f>'Л-29,1'!F40+'К-30,5'!F40+'П-12'!F40</f>
        <v>0</v>
      </c>
      <c r="G40" s="21">
        <f>'Л-29,1'!G40+'К-30,5'!G40+'П-12'!G40</f>
        <v>0</v>
      </c>
      <c r="H40" s="21">
        <f>'Л-29,1'!H40+'К-30,5'!H40+'П-12'!H40</f>
        <v>0</v>
      </c>
      <c r="I40" s="21">
        <f>'Л-29,1'!I40+'К-30,5'!I40+'П-12'!I40</f>
        <v>0</v>
      </c>
      <c r="J40" s="21">
        <f>'Л-29,1'!J40+'К-30,5'!J40+'П-12'!J40</f>
        <v>707.16</v>
      </c>
      <c r="K40" s="21">
        <f>'Л-29,1'!K40+'К-30,5'!K40+'П-12'!K40</f>
        <v>707.16</v>
      </c>
      <c r="L40" s="21">
        <f>'Л-29,1'!L40+'К-30,5'!L40+'П-12'!L40</f>
        <v>0</v>
      </c>
    </row>
    <row r="41" spans="1:12" ht="12">
      <c r="A41" s="16">
        <v>2</v>
      </c>
      <c r="B41" s="46" t="s">
        <v>87</v>
      </c>
      <c r="C41" s="46"/>
      <c r="D41" s="21">
        <f>'Л-29,1'!D41+'К-30,5'!D41+'П-12'!D41</f>
        <v>0</v>
      </c>
      <c r="E41" s="21">
        <f>'Л-29,1'!E41+'К-30,5'!E41+'П-12'!E41</f>
        <v>208313.07</v>
      </c>
      <c r="F41" s="21">
        <f>'Л-29,1'!F41+'К-30,5'!F41+'П-12'!F41</f>
        <v>208313.07</v>
      </c>
      <c r="G41" s="21">
        <f>'Л-29,1'!G41+'К-30,5'!G41+'П-12'!G41</f>
        <v>0</v>
      </c>
      <c r="H41" s="21">
        <f>'Л-29,1'!H41+'К-30,5'!H41+'П-12'!H41</f>
        <v>-208313.07</v>
      </c>
      <c r="I41" s="21">
        <f>'Л-29,1'!I41+'К-30,5'!I41+'П-12'!I41</f>
        <v>0</v>
      </c>
      <c r="J41" s="21">
        <f>'Л-29,1'!J41+'К-30,5'!J41+'П-12'!J41</f>
        <v>208313.07</v>
      </c>
      <c r="K41" s="21">
        <f>'Л-29,1'!K41+'К-30,5'!K41+'П-12'!K41</f>
        <v>0</v>
      </c>
      <c r="L41" s="21">
        <f>'Л-29,1'!L41+'К-30,5'!L41+'П-12'!L41</f>
        <v>-208313.07</v>
      </c>
    </row>
    <row r="42" spans="1:12" ht="12">
      <c r="A42" s="16">
        <v>3</v>
      </c>
      <c r="B42" s="46" t="s">
        <v>88</v>
      </c>
      <c r="C42" s="46"/>
      <c r="D42" s="21">
        <f>'Л-29,1'!D42+'К-30,5'!D42+'П-12'!D42</f>
        <v>0</v>
      </c>
      <c r="E42" s="21">
        <f>'Л-29,1'!E42+'К-30,5'!E42+'П-12'!E42</f>
        <v>1048.12</v>
      </c>
      <c r="F42" s="21">
        <f>'Л-29,1'!F42+'К-30,5'!F42+'П-12'!F42</f>
        <v>1048.12</v>
      </c>
      <c r="G42" s="21">
        <f>'Л-29,1'!G42+'К-30,5'!G42+'П-12'!G42</f>
        <v>0</v>
      </c>
      <c r="H42" s="21">
        <f>'Л-29,1'!H42+'К-30,5'!H42+'П-12'!H42</f>
        <v>-1048.12</v>
      </c>
      <c r="I42" s="21">
        <f>'Л-29,1'!I42+'К-30,5'!I42+'П-12'!I42</f>
        <v>0</v>
      </c>
      <c r="J42" s="21">
        <f>'Л-29,1'!J42+'К-30,5'!J42+'П-12'!J42</f>
        <v>1048.12</v>
      </c>
      <c r="K42" s="21">
        <f>'Л-29,1'!K42+'К-30,5'!K42+'П-12'!K42</f>
        <v>0</v>
      </c>
      <c r="L42" s="21">
        <f>'Л-29,1'!L42+'К-30,5'!L42+'П-12'!L42</f>
        <v>-1048.12</v>
      </c>
    </row>
    <row r="43" spans="1:12" ht="12">
      <c r="A43" s="16">
        <v>4</v>
      </c>
      <c r="B43" s="46" t="s">
        <v>89</v>
      </c>
      <c r="C43" s="46"/>
      <c r="D43" s="21">
        <f>'Л-29,1'!D43+'К-30,5'!D43+'П-12'!D43</f>
        <v>0</v>
      </c>
      <c r="E43" s="21">
        <f>'Л-29,1'!E43+'К-30,5'!E43+'П-12'!E43</f>
        <v>80194.36</v>
      </c>
      <c r="F43" s="21">
        <f>'Л-29,1'!F43+'К-30,5'!F43+'П-12'!F43</f>
        <v>80194.36</v>
      </c>
      <c r="G43" s="21">
        <f>'Л-29,1'!G43+'К-30,5'!G43+'П-12'!G43</f>
        <v>0</v>
      </c>
      <c r="H43" s="21">
        <f>'Л-29,1'!H43+'К-30,5'!H43+'П-12'!H43</f>
        <v>-80194.36</v>
      </c>
      <c r="I43" s="21">
        <f>'Л-29,1'!I43+'К-30,5'!I43+'П-12'!I43</f>
        <v>0</v>
      </c>
      <c r="J43" s="21">
        <f>'Л-29,1'!J43+'К-30,5'!J43+'П-12'!J43</f>
        <v>80194.36</v>
      </c>
      <c r="K43" s="21">
        <f>'Л-29,1'!K43+'К-30,5'!K43+'П-12'!K43</f>
        <v>0</v>
      </c>
      <c r="L43" s="21">
        <f>'Л-29,1'!L43+'К-30,5'!L43+'П-12'!L43</f>
        <v>-80194.36</v>
      </c>
    </row>
    <row r="44" spans="1:12" ht="12">
      <c r="A44" s="16"/>
      <c r="B44" s="46"/>
      <c r="C44" s="46"/>
      <c r="D44" s="21">
        <f>'Л-29,1'!D44+'К-30,5'!D44+'П-12'!D44</f>
        <v>0</v>
      </c>
      <c r="E44" s="21">
        <f>'Л-29,1'!E44+'К-30,5'!E44+'П-12'!E44</f>
        <v>0</v>
      </c>
      <c r="F44" s="21">
        <f>'Л-29,1'!F44+'К-30,5'!F44+'П-12'!F44</f>
        <v>0</v>
      </c>
      <c r="G44" s="21">
        <f>'Л-29,1'!G44+'К-30,5'!G44+'П-12'!G44</f>
        <v>0</v>
      </c>
      <c r="H44" s="21">
        <f>'Л-29,1'!H44+'К-30,5'!H44+'П-12'!H44</f>
        <v>0</v>
      </c>
      <c r="I44" s="21">
        <f>'Л-29,1'!I44+'К-30,5'!I44+'П-12'!I44</f>
        <v>0</v>
      </c>
      <c r="J44" s="21">
        <f>'Л-29,1'!J44+'К-30,5'!J44+'П-12'!J44</f>
        <v>0</v>
      </c>
      <c r="K44" s="21">
        <f>'Л-29,1'!K44+'К-30,5'!K44+'П-12'!K44</f>
        <v>0</v>
      </c>
      <c r="L44" s="21">
        <f>'Л-29,1'!L44+'К-30,5'!L44+'П-12'!L44</f>
        <v>0</v>
      </c>
    </row>
    <row r="45" spans="1:12" s="45" customFormat="1" ht="12">
      <c r="A45" s="43"/>
      <c r="B45" s="31" t="s">
        <v>61</v>
      </c>
      <c r="C45" s="49"/>
      <c r="D45" s="33">
        <f>'Л-29,1'!D45+'К-30,5'!D45+'П-12'!D45</f>
        <v>249038.19000000003</v>
      </c>
      <c r="E45" s="33">
        <f>'Л-29,1'!E45+'К-30,5'!E45+'П-12'!E45</f>
        <v>3196270.0000000005</v>
      </c>
      <c r="F45" s="33">
        <f>'Л-29,1'!F45+'К-30,5'!F45+'П-12'!F45</f>
        <v>3445308.19</v>
      </c>
      <c r="G45" s="33">
        <f>'Л-29,1'!G45+'К-30,5'!G45+'П-12'!G45</f>
        <v>2524984.6500000004</v>
      </c>
      <c r="H45" s="33">
        <f>'Л-29,1'!H45+'К-30,5'!H45+'П-12'!H45</f>
        <v>-920323.54</v>
      </c>
      <c r="I45" s="33">
        <f>'Л-29,1'!I45+'К-30,5'!I45+'П-12'!I45</f>
        <v>377828.3</v>
      </c>
      <c r="J45" s="33">
        <f>'Л-29,1'!J45+'К-30,5'!J45+'П-12'!J45</f>
        <v>3323425.503</v>
      </c>
      <c r="K45" s="33">
        <f>'Л-29,1'!K45+'К-30,5'!K45+'П-12'!K45</f>
        <v>2468282.67</v>
      </c>
      <c r="L45" s="33">
        <f>'Л-29,1'!L45+'К-30,5'!L45+'П-12'!L45</f>
        <v>-1232971.1269999999</v>
      </c>
    </row>
    <row r="46" spans="1:12" ht="12">
      <c r="A46" s="16"/>
      <c r="B46" s="15"/>
      <c r="C46" s="50"/>
      <c r="D46" s="21">
        <f>'Л-29,1'!D46+'К-30,5'!D46+'П-12'!D46</f>
        <v>0</v>
      </c>
      <c r="E46" s="21">
        <f>'Л-29,1'!E46+'К-30,5'!E46+'П-12'!E46</f>
        <v>0</v>
      </c>
      <c r="F46" s="21">
        <f>'Л-29,1'!F46+'К-30,5'!F46+'П-12'!F46</f>
        <v>0</v>
      </c>
      <c r="G46" s="21">
        <f>'Л-29,1'!G46+'К-30,5'!G46+'П-12'!G46</f>
        <v>0</v>
      </c>
      <c r="H46" s="21">
        <f>'Л-29,1'!H46+'К-30,5'!H46+'П-12'!H46</f>
        <v>0</v>
      </c>
      <c r="I46" s="21">
        <f>'Л-29,1'!I46+'К-30,5'!I46+'П-12'!I46</f>
        <v>0</v>
      </c>
      <c r="J46" s="21">
        <f>'Л-29,1'!J46+'К-30,5'!J46+'П-12'!J46</f>
        <v>0</v>
      </c>
      <c r="K46" s="21">
        <f>'Л-29,1'!K46+'К-30,5'!K46+'П-12'!K46</f>
        <v>0</v>
      </c>
      <c r="L46" s="21">
        <f>'Л-29,1'!L46+'К-30,5'!L46+'П-12'!L46</f>
        <v>0</v>
      </c>
    </row>
    <row r="47" spans="1:12" ht="12">
      <c r="A47" s="16"/>
      <c r="B47" s="15" t="s">
        <v>62</v>
      </c>
      <c r="C47" s="50"/>
      <c r="D47" s="21">
        <f>'Л-29,1'!D47+'К-30,5'!D47+'П-12'!D47</f>
        <v>0</v>
      </c>
      <c r="E47" s="21">
        <f>'Л-29,1'!E47+'К-30,5'!E47+'П-12'!E47</f>
        <v>0</v>
      </c>
      <c r="F47" s="21">
        <f>'Л-29,1'!F47+'К-30,5'!F47+'П-12'!F47</f>
        <v>0</v>
      </c>
      <c r="G47" s="21">
        <f>'Л-29,1'!G47+'К-30,5'!G47+'П-12'!G47</f>
        <v>71412.69</v>
      </c>
      <c r="H47" s="21">
        <f>'Л-29,1'!H47+'К-30,5'!H47+'П-12'!H47</f>
        <v>0</v>
      </c>
      <c r="I47" s="21">
        <f>'Л-29,1'!I47+'К-30,5'!I47+'П-12'!I47</f>
        <v>0</v>
      </c>
      <c r="J47" s="21">
        <f>'Л-29,1'!J47+'К-30,5'!J47+'П-12'!J47</f>
        <v>0</v>
      </c>
      <c r="K47" s="21">
        <f>'Л-29,1'!K47+'К-30,5'!K47+'П-12'!K47</f>
        <v>0</v>
      </c>
      <c r="L47" s="21">
        <f>'Л-29,1'!L47+'К-30,5'!L47+'П-12'!L47</f>
        <v>0</v>
      </c>
    </row>
    <row r="48" spans="1:12" ht="12">
      <c r="A48" s="16"/>
      <c r="B48" s="15" t="s">
        <v>63</v>
      </c>
      <c r="C48" s="50"/>
      <c r="D48" s="21">
        <f>'Л-29,1'!D48+'К-30,5'!D48+'П-12'!D48</f>
        <v>0</v>
      </c>
      <c r="E48" s="21">
        <f>'Л-29,1'!E48+'К-30,5'!E48+'П-12'!E48</f>
        <v>0</v>
      </c>
      <c r="F48" s="21">
        <f>'Л-29,1'!F48+'К-30,5'!F48+'П-12'!F48</f>
        <v>0</v>
      </c>
      <c r="G48" s="21">
        <f>'Л-29,1'!G48+'К-30,5'!G48+'П-12'!G48</f>
        <v>0</v>
      </c>
      <c r="H48" s="21">
        <f>'Л-29,1'!H48+'К-30,5'!H48+'П-12'!H48</f>
        <v>0</v>
      </c>
      <c r="I48" s="21">
        <f>'Л-29,1'!I48+'К-30,5'!I48+'П-12'!I48</f>
        <v>0</v>
      </c>
      <c r="J48" s="21">
        <f>'Л-29,1'!J48+'К-30,5'!J48+'П-12'!J48</f>
        <v>0</v>
      </c>
      <c r="K48" s="21">
        <f>'Л-29,1'!K48+'К-30,5'!K48+'П-12'!K48</f>
        <v>0</v>
      </c>
      <c r="L48" s="21">
        <f>'Л-29,1'!L48+'К-30,5'!L48+'П-12'!L48</f>
        <v>0</v>
      </c>
    </row>
    <row r="49" spans="1:12" ht="12">
      <c r="A49" s="16"/>
      <c r="B49" s="48"/>
      <c r="C49" s="29"/>
      <c r="D49" s="21">
        <f>'Л-29,1'!D49+'К-30,5'!D49+'П-12'!D49</f>
        <v>0</v>
      </c>
      <c r="E49" s="21">
        <f>'Л-29,1'!E49+'К-30,5'!E49+'П-12'!E49</f>
        <v>0</v>
      </c>
      <c r="F49" s="21">
        <f>'Л-29,1'!F49+'К-30,5'!F49+'П-12'!F49</f>
        <v>0</v>
      </c>
      <c r="G49" s="21">
        <f>'Л-29,1'!G49+'К-30,5'!G49+'П-12'!G49</f>
        <v>0</v>
      </c>
      <c r="H49" s="21">
        <f>'Л-29,1'!H49+'К-30,5'!H49+'П-12'!H49</f>
        <v>0</v>
      </c>
      <c r="I49" s="21">
        <f>'Л-29,1'!I49+'К-30,5'!I49+'П-12'!I49</f>
        <v>0</v>
      </c>
      <c r="J49" s="21">
        <f>'Л-29,1'!J49+'К-30,5'!J49+'П-12'!J49</f>
        <v>0</v>
      </c>
      <c r="K49" s="21">
        <f>'Л-29,1'!K49+'К-30,5'!K49+'П-12'!K49</f>
        <v>0</v>
      </c>
      <c r="L49" s="21">
        <f>'Л-29,1'!L49+'К-30,5'!L49+'П-12'!L49</f>
        <v>0</v>
      </c>
    </row>
    <row r="50" spans="1:12" s="45" customFormat="1" ht="12">
      <c r="A50" s="43"/>
      <c r="B50" s="52"/>
      <c r="C50" s="53"/>
      <c r="D50" s="33">
        <f>'Л-29,1'!D50+'К-30,5'!D50+'П-12'!D50</f>
        <v>249038.19000000003</v>
      </c>
      <c r="E50" s="33">
        <f>'Л-29,1'!E50+'К-30,5'!E50+'П-12'!E50</f>
        <v>3196270.0000000005</v>
      </c>
      <c r="F50" s="33">
        <f>'Л-29,1'!F50+'К-30,5'!F50+'П-12'!F50</f>
        <v>3445308.19</v>
      </c>
      <c r="G50" s="33">
        <f>'Л-29,1'!G50+'К-30,5'!G50+'П-12'!G50</f>
        <v>2596397.3400000003</v>
      </c>
      <c r="H50" s="33">
        <f>'Л-29,1'!H50+'К-30,5'!H50+'П-12'!H50</f>
        <v>-920323.54</v>
      </c>
      <c r="I50" s="33">
        <f>'Л-29,1'!I50+'К-30,5'!I50+'П-12'!I50</f>
        <v>377828.3</v>
      </c>
      <c r="J50" s="33">
        <f>'Л-29,1'!J50+'К-30,5'!J50+'П-12'!J50</f>
        <v>3323425.503</v>
      </c>
      <c r="K50" s="33">
        <f>'Л-29,1'!K50+'К-30,5'!K50+'П-12'!K50</f>
        <v>2468282.67</v>
      </c>
      <c r="L50" s="33">
        <f>'Л-29,1'!L50+'К-30,5'!L50+'П-12'!L50</f>
        <v>-1232971.1269999999</v>
      </c>
    </row>
    <row r="51" spans="4:12" ht="12">
      <c r="D51" s="70"/>
      <c r="E51" s="70"/>
      <c r="F51" s="70"/>
      <c r="G51" s="70"/>
      <c r="H51" s="70"/>
      <c r="I51" s="4" t="s">
        <v>64</v>
      </c>
      <c r="J51" s="70"/>
      <c r="K51" s="71">
        <f>'Л-29,1'!K51+'К-30,5'!K51+'П-12'!K51</f>
        <v>49388.67</v>
      </c>
      <c r="L51" s="70"/>
    </row>
    <row r="52" spans="2:12" ht="12">
      <c r="B52" s="2"/>
      <c r="C52" s="5"/>
      <c r="D52" s="70"/>
      <c r="E52" s="70"/>
      <c r="F52" s="70"/>
      <c r="G52" s="70"/>
      <c r="H52" s="70"/>
      <c r="I52" s="4" t="s">
        <v>65</v>
      </c>
      <c r="J52" s="70"/>
      <c r="K52" s="71">
        <f>'Л-29,1'!K52+'К-30,5'!K52+'П-12'!K52</f>
        <v>78726</v>
      </c>
      <c r="L52" s="70"/>
    </row>
    <row r="53" spans="2:12" ht="12">
      <c r="B53" s="2" t="s">
        <v>66</v>
      </c>
      <c r="C53" s="5" t="s">
        <v>67</v>
      </c>
      <c r="D53" s="70" t="s">
        <v>68</v>
      </c>
      <c r="E53" s="70"/>
      <c r="F53" s="70"/>
      <c r="G53" s="70"/>
      <c r="H53" s="70"/>
      <c r="I53" s="70"/>
      <c r="J53" s="70"/>
      <c r="K53" s="71">
        <f>'Л-29,1'!K53+'К-30,5'!K53+'П-12'!K53</f>
        <v>5.093170329928398E-10</v>
      </c>
      <c r="L53" s="70"/>
    </row>
    <row r="54" spans="1:4" ht="12">
      <c r="A54" s="54"/>
      <c r="B54" s="2" t="s">
        <v>69</v>
      </c>
      <c r="C54" s="5" t="s">
        <v>67</v>
      </c>
      <c r="D54" s="5" t="s">
        <v>70</v>
      </c>
    </row>
  </sheetData>
  <mergeCells count="5">
    <mergeCell ref="I4:L4"/>
    <mergeCell ref="A4:A5"/>
    <mergeCell ref="B4:B5"/>
    <mergeCell ref="C4:C5"/>
    <mergeCell ref="D4:H4"/>
  </mergeCells>
  <printOptions/>
  <pageMargins left="0.21" right="0.19" top="0.56" bottom="0.16" header="0.5" footer="0.5"/>
  <pageSetup horizontalDpi="600" verticalDpi="600" orientation="landscape" paperSize="9" scale="70" r:id="rId1"/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3:E101"/>
  <sheetViews>
    <sheetView workbookViewId="0" topLeftCell="A1">
      <selection activeCell="A13" sqref="A13:E15"/>
    </sheetView>
  </sheetViews>
  <sheetFormatPr defaultColWidth="9.00390625" defaultRowHeight="12.75"/>
  <cols>
    <col min="1" max="1" width="18.25390625" style="0" customWidth="1"/>
    <col min="2" max="2" width="19.125" style="72" customWidth="1"/>
    <col min="3" max="3" width="18.25390625" style="72" customWidth="1"/>
    <col min="4" max="4" width="15.125" style="72" customWidth="1"/>
    <col min="5" max="5" width="12.875" style="72" bestFit="1" customWidth="1"/>
    <col min="6" max="7" width="9.125" style="72" customWidth="1"/>
  </cols>
  <sheetData>
    <row r="3" spans="2:4" ht="12.75">
      <c r="B3" s="73" t="s">
        <v>73</v>
      </c>
      <c r="C3" s="73" t="s">
        <v>84</v>
      </c>
      <c r="D3" s="73" t="s">
        <v>90</v>
      </c>
    </row>
    <row r="4" spans="1:4" ht="12.75">
      <c r="A4" t="s">
        <v>117</v>
      </c>
      <c r="B4" s="72">
        <f>101120.98+647394.56</f>
        <v>748515.54</v>
      </c>
      <c r="C4" s="72">
        <f>383748.74</f>
        <v>383748.74</v>
      </c>
      <c r="D4" s="72">
        <v>299632.36</v>
      </c>
    </row>
    <row r="5" spans="1:4" ht="12.75">
      <c r="A5" t="s">
        <v>118</v>
      </c>
      <c r="B5" s="72">
        <v>977194.36</v>
      </c>
      <c r="C5" s="72">
        <v>136784.8</v>
      </c>
      <c r="D5" s="72">
        <v>16723.53</v>
      </c>
    </row>
    <row r="8" spans="2:4" ht="12.75">
      <c r="B8" s="73" t="s">
        <v>44</v>
      </c>
      <c r="C8" s="73" t="s">
        <v>46</v>
      </c>
      <c r="D8" s="73" t="s">
        <v>48</v>
      </c>
    </row>
    <row r="9" spans="1:4" ht="12.75">
      <c r="A9" t="s">
        <v>117</v>
      </c>
      <c r="B9" s="72">
        <f>7929.57+86108.02</f>
        <v>94037.59</v>
      </c>
      <c r="C9" s="72">
        <f>6248.39+128574.48</f>
        <v>134822.87</v>
      </c>
      <c r="D9" s="72">
        <f>78272.18</f>
        <v>78272.18</v>
      </c>
    </row>
    <row r="10" spans="1:4" ht="12.75">
      <c r="A10" t="s">
        <v>118</v>
      </c>
      <c r="B10" s="72">
        <v>117240.23</v>
      </c>
      <c r="C10" s="72">
        <v>96227.19</v>
      </c>
      <c r="D10" s="72">
        <v>88692.95</v>
      </c>
    </row>
    <row r="13" spans="2:5" ht="12.75">
      <c r="B13" s="73" t="s">
        <v>92</v>
      </c>
      <c r="C13" s="73" t="s">
        <v>93</v>
      </c>
      <c r="D13" s="73" t="s">
        <v>120</v>
      </c>
      <c r="E13" s="73" t="s">
        <v>121</v>
      </c>
    </row>
    <row r="14" spans="1:5" ht="12.75">
      <c r="A14" t="s">
        <v>117</v>
      </c>
      <c r="B14" s="72">
        <f>96168.82+375695.57</f>
        <v>471864.39</v>
      </c>
      <c r="C14" s="72">
        <f>15739.63+57825.31</f>
        <v>73564.94</v>
      </c>
      <c r="D14" s="72">
        <f>28249.25+92179.4</f>
        <v>120428.65</v>
      </c>
      <c r="E14" s="72">
        <f>38296.21+131771.49</f>
        <v>170067.69999999998</v>
      </c>
    </row>
    <row r="15" spans="1:5" ht="12.75">
      <c r="A15" t="s">
        <v>118</v>
      </c>
      <c r="B15" s="72">
        <v>310642.37</v>
      </c>
      <c r="C15" s="72">
        <v>47449.62</v>
      </c>
      <c r="D15" s="72">
        <v>80975.21</v>
      </c>
      <c r="E15" s="72">
        <v>114203.9</v>
      </c>
    </row>
    <row r="101" ht="12.75">
      <c r="B101" s="72">
        <v>119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Вячеславовна</dc:creator>
  <cp:keywords/>
  <dc:description/>
  <cp:lastModifiedBy>Надежда Вячеславовна</cp:lastModifiedBy>
  <cp:lastPrinted>2013-03-15T01:38:32Z</cp:lastPrinted>
  <dcterms:created xsi:type="dcterms:W3CDTF">2012-04-05T04:56:59Z</dcterms:created>
  <dcterms:modified xsi:type="dcterms:W3CDTF">2014-02-04T06:59:05Z</dcterms:modified>
  <cp:category/>
  <cp:version/>
  <cp:contentType/>
  <cp:contentStatus/>
</cp:coreProperties>
</file>